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дод. 12" sheetId="1" r:id="rId1"/>
    <sheet name="Лист2 (07.08.)" sheetId="2" r:id="rId2"/>
    <sheet name="зп" sheetId="3" r:id="rId3"/>
    <sheet name="2020" sheetId="4" r:id="rId4"/>
  </sheets>
  <definedNames>
    <definedName name="_xlfn.AGGREGATE" hidden="1">#NAME?</definedName>
    <definedName name="_xlnm.Print_Titles" localSheetId="0">'дод. 12'!$6:$7</definedName>
    <definedName name="_xlnm.Print_Area" localSheetId="3">'2020'!$A$1:$G$55</definedName>
    <definedName name="_xlnm.Print_Area" localSheetId="0">'дод. 12'!$A$1:$H$111</definedName>
    <definedName name="_xlnm.Print_Area" localSheetId="1">'Лист2 (07.08.)'!$A$1:$M$19</definedName>
  </definedNames>
  <calcPr fullCalcOnLoad="1"/>
</workbook>
</file>

<file path=xl/sharedStrings.xml><?xml version="1.0" encoding="utf-8"?>
<sst xmlns="http://schemas.openxmlformats.org/spreadsheetml/2006/main" count="277" uniqueCount="181">
  <si>
    <t>Назва напрямків</t>
  </si>
  <si>
    <t>Разом  видатків на поточний рік</t>
  </si>
  <si>
    <t>Відсоток виконання до річного плану</t>
  </si>
  <si>
    <t>Найменування</t>
  </si>
  <si>
    <t>з них:</t>
  </si>
  <si>
    <t xml:space="preserve">заробітня плата </t>
  </si>
  <si>
    <t>нарахування на заробітню плату</t>
  </si>
  <si>
    <t>предмети, матеріаи, обладнання та інвентар</t>
  </si>
  <si>
    <t>послуги сторонніх організацій</t>
  </si>
  <si>
    <t>предмети, матеріали, обладнання та інвентар</t>
  </si>
  <si>
    <t>Терміновий (позаплановий) поточний ремонт та утримання об’єктів вулично-дорожньої мережі, в т.ч.:</t>
  </si>
  <si>
    <t>ремонт дорожнього покриття</t>
  </si>
  <si>
    <t>ремонт пішохідних тротуарів</t>
  </si>
  <si>
    <t>ремонт внутрішньо-квартальних проїздів</t>
  </si>
  <si>
    <t>нанесення розмітки проїзної частини міста</t>
  </si>
  <si>
    <t xml:space="preserve">поточний ремонт та утримання технічних засобів організації дорожнього руху 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</si>
  <si>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 малих архітектурних форм, зупинок громадського транспорту, інвентаризація  та паспортизація дорожнього господарства), в т.ч.:</t>
  </si>
  <si>
    <t>зимове та літнє утримання доріг</t>
  </si>
  <si>
    <t>інвентаризація  та паспортизація дорожнього господарства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</si>
  <si>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</si>
  <si>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</si>
  <si>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</si>
  <si>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</si>
  <si>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</si>
  <si>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</si>
  <si>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</si>
  <si>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</si>
  <si>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</si>
  <si>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</si>
  <si>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</si>
  <si>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</si>
  <si>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</si>
  <si>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</si>
  <si>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</si>
  <si>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</si>
  <si>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</si>
  <si>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 тому числі: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</si>
  <si>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</si>
  <si>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</si>
  <si>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</si>
  <si>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</si>
  <si>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</si>
  <si>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</si>
  <si>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</si>
  <si>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</si>
  <si>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</si>
  <si>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</si>
  <si>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</si>
  <si>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</si>
  <si>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</si>
  <si>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поточний ремонт та утримання штучних споруд малих архітектурних форм, зупинок громадського транспорту</t>
  </si>
  <si>
    <t>КП "ЧЕЛУАШ"</t>
  </si>
  <si>
    <t xml:space="preserve">липень </t>
  </si>
  <si>
    <t>разом</t>
  </si>
  <si>
    <t>Залишок призначень</t>
  </si>
  <si>
    <t>план використання коштів</t>
  </si>
  <si>
    <t>зп</t>
  </si>
  <si>
    <t>нарах</t>
  </si>
  <si>
    <t>фактично сплачено</t>
  </si>
  <si>
    <t>разом, в т.ч.</t>
  </si>
  <si>
    <t>аванс</t>
  </si>
  <si>
    <t>з/п</t>
  </si>
  <si>
    <t>відпускні</t>
  </si>
  <si>
    <t>З/п з нарахуваннями (по датам)</t>
  </si>
  <si>
    <t>січень:</t>
  </si>
  <si>
    <t>лютий:</t>
  </si>
  <si>
    <t>березень:</t>
  </si>
  <si>
    <t>розрахункові</t>
  </si>
  <si>
    <t>квітень: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</si>
  <si>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</si>
  <si>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</si>
  <si>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</si>
  <si>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</si>
  <si>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</si>
  <si>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РАЗОМ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</si>
  <si>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</si>
  <si>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</si>
  <si>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</si>
  <si>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</si>
  <si>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План 2019 року</t>
  </si>
  <si>
    <t>Фінансова підтримка  КП "ЧЕЛУАШ" на 2019 рік в розрізі напрямків</t>
  </si>
  <si>
    <t>поточний ремонт та утримання мереж зливової каналізації</t>
  </si>
  <si>
    <t xml:space="preserve">розрахункові 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</si>
  <si>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</si>
  <si>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</si>
  <si>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</si>
  <si>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</si>
  <si>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</si>
  <si>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</si>
  <si>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</si>
  <si>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</si>
  <si>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</si>
  <si>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</si>
  <si>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</si>
  <si>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</si>
  <si>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</si>
  <si>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</si>
  <si>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</si>
  <si>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</si>
  <si>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</si>
  <si>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</si>
  <si>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</si>
  <si>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</si>
  <si>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</si>
  <si>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</si>
  <si>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</si>
  <si>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</si>
  <si>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</si>
  <si>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</si>
  <si>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</si>
  <si>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</si>
  <si>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</si>
  <si>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</si>
  <si>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</si>
  <si>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</si>
  <si>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</si>
  <si>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</si>
  <si>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</si>
  <si>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</si>
  <si>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</si>
  <si>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</si>
  <si>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</si>
  <si>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</si>
  <si>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</si>
  <si>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</si>
  <si>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</si>
  <si>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</si>
  <si>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</si>
  <si>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</si>
  <si>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</si>
  <si>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</si>
  <si>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</si>
  <si>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</si>
  <si>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</si>
  <si>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</si>
  <si>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</si>
  <si>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</si>
  <si>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</si>
  <si>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</si>
  <si>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бульв. Шевченка (тротуари від вул. Припортова до вул. Добровольського), м. Черкаси</t>
  </si>
  <si>
    <t>.12.2019</t>
  </si>
  <si>
    <t>Капітальний ремонт вул. Амброса (тротуар, парна сторона від вул. Новопричистенська до вул. Іллєнка)</t>
  </si>
  <si>
    <t xml:space="preserve">Капітальний ремонт вул. Різдвяна (тротуар, парна сторона від вул. Волкова до вул. Толстого) 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</si>
  <si>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</si>
  <si>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</si>
  <si>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міжквартального проїзду від вул. Різдв'яна до ДНЗ № 43</t>
  </si>
  <si>
    <t>Капітальний ремонт вул. Ільїна (від вул. Можайського до вул. М. Грушевського) м. Черкаси</t>
  </si>
  <si>
    <t>13,21,29.05.2019</t>
  </si>
  <si>
    <t>11, 25.06.2019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</si>
  <si>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</si>
  <si>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</si>
  <si>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оплата інших енергоносіїв та інших комунальних послуг</t>
  </si>
  <si>
    <t xml:space="preserve">Капітальний ремонт вул. Пахарів Хутір (тротуар непарна сторона, від вул. М. Старицького до санаторію "пролісок") 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</si>
  <si>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</si>
  <si>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Реконструкція вул. Смаглія в м. Черкаси </t>
  </si>
  <si>
    <t>Реконструкція вул. Козацька від Г. Дніпра до набережної, м. Черкаси</t>
  </si>
  <si>
    <t>Реконструкція вул. Б. Вишневецького (тротуар) від вул. Хрещатик до Замкового узвозу, м. Черкаси</t>
  </si>
  <si>
    <t xml:space="preserve">Реконструкція вул. Самійла Кішки від вул. Бидгощська до пр-т Хіміків м. Черкаси </t>
  </si>
  <si>
    <t>Реконструкція вул. Різдвяна від вул. Толстого до вул. Нарбутівська м. Черкаси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</si>
  <si>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</si>
  <si>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</si>
  <si>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2020 рік</t>
  </si>
  <si>
    <t>зп (13,2 %)</t>
  </si>
  <si>
    <t>інші (6 %)</t>
  </si>
  <si>
    <t>09.12.09.2019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</si>
  <si>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</si>
  <si>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2019 році</t>
  </si>
  <si>
    <t>07,10.10.2019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</si>
  <si>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</si>
  <si>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вулиці Надпільна (встановлення світлофору біля будівлі № 532)</t>
  </si>
  <si>
    <t>Реконструкція вул. Ільїна (від вул. Чорновола до вул. Пацаєва) (І черга)</t>
  </si>
  <si>
    <t>Реконструкція вул.Сумгаїтської від межі міста до вул. Одеської</t>
  </si>
  <si>
    <t>ВИДАТКИ</t>
  </si>
  <si>
    <t>Директор департаменту фінансової політики</t>
  </si>
  <si>
    <t xml:space="preserve">Додаток № 12
до рішення міської ради
"Про міський бюджет на 2020 рік"
від            № </t>
  </si>
  <si>
    <t xml:space="preserve">  на проведення робіт, пов'язаних із будівництвом, реконструкцією, ремонтом та утриманням автомобільних доріг у 2020 році</t>
  </si>
  <si>
    <t>Т.І.Харенко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</si>
  <si>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</si>
  <si>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Профінансовано станом на 25.11.2019</t>
  </si>
  <si>
    <t>06,14,25.11.2019</t>
  </si>
  <si>
    <t>Профінансовано на 29.11.19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</si>
</sst>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59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8" fillId="47" borderId="8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1" fillId="47" borderId="12" applyNumberFormat="0" applyAlignment="0" applyProtection="0"/>
    <xf numFmtId="0" fontId="19" fillId="0" borderId="13" applyNumberFormat="0" applyFill="0" applyAlignment="0" applyProtection="0"/>
    <xf numFmtId="0" fontId="62" fillId="51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9" fillId="0" borderId="14" xfId="107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1" fillId="0" borderId="14" xfId="0" applyFont="1" applyBorder="1" applyAlignment="1">
      <alignment vertical="center" wrapText="1"/>
    </xf>
    <xf numFmtId="0" fontId="0" fillId="0" borderId="0" xfId="112" applyFont="1">
      <alignment/>
      <protection/>
    </xf>
    <xf numFmtId="0" fontId="28" fillId="0" borderId="0" xfId="112" applyFont="1">
      <alignment/>
      <protection/>
    </xf>
    <xf numFmtId="0" fontId="35" fillId="0" borderId="0" xfId="112" applyFont="1" applyAlignment="1">
      <alignment horizontal="center" wrapText="1"/>
      <protection/>
    </xf>
    <xf numFmtId="0" fontId="35" fillId="52" borderId="14" xfId="112" applyFont="1" applyFill="1" applyBorder="1" applyAlignment="1">
      <alignment horizontal="center"/>
      <protection/>
    </xf>
    <xf numFmtId="0" fontId="36" fillId="52" borderId="14" xfId="112" applyFont="1" applyFill="1" applyBorder="1">
      <alignment/>
      <protection/>
    </xf>
    <xf numFmtId="0" fontId="35" fillId="52" borderId="14" xfId="112" applyFont="1" applyFill="1" applyBorder="1" applyAlignment="1">
      <alignment horizontal="left" wrapText="1"/>
      <protection/>
    </xf>
    <xf numFmtId="4" fontId="35" fillId="52" borderId="14" xfId="131" applyNumberFormat="1" applyFont="1" applyFill="1" applyBorder="1" applyAlignment="1">
      <alignment horizontal="center" vertical="center"/>
    </xf>
    <xf numFmtId="49" fontId="36" fillId="0" borderId="14" xfId="112" applyNumberFormat="1" applyFont="1" applyFill="1" applyBorder="1" applyAlignment="1">
      <alignment horizontal="center" vertical="center" wrapText="1"/>
      <protection/>
    </xf>
    <xf numFmtId="0" fontId="36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8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8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6" fillId="0" borderId="14" xfId="112" applyFont="1" applyFill="1" applyBorder="1" applyAlignment="1">
      <alignment horizontal="left" wrapText="1"/>
      <protection/>
    </xf>
    <xf numFmtId="4" fontId="36" fillId="0" borderId="14" xfId="107" applyNumberFormat="1" applyFont="1" applyFill="1" applyBorder="1" applyAlignment="1">
      <alignment horizontal="center"/>
      <protection/>
    </xf>
    <xf numFmtId="0" fontId="36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9" fillId="0" borderId="14" xfId="112" applyFont="1" applyFill="1" applyBorder="1" applyAlignment="1">
      <alignment horizontal="left" wrapText="1"/>
      <protection/>
    </xf>
    <xf numFmtId="4" fontId="39" fillId="0" borderId="14" xfId="107" applyNumberFormat="1" applyFont="1" applyFill="1" applyBorder="1" applyAlignment="1">
      <alignment horizontal="center"/>
      <protection/>
    </xf>
    <xf numFmtId="16" fontId="35" fillId="52" borderId="14" xfId="112" applyNumberFormat="1" applyFont="1" applyFill="1" applyBorder="1" applyAlignment="1">
      <alignment horizontal="center"/>
      <protection/>
    </xf>
    <xf numFmtId="0" fontId="35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2" fillId="0" borderId="0" xfId="112" applyFont="1" applyAlignment="1">
      <alignment horizontal="center" wrapText="1"/>
      <protection/>
    </xf>
    <xf numFmtId="49" fontId="39" fillId="0" borderId="14" xfId="112" applyNumberFormat="1" applyFont="1" applyFill="1" applyBorder="1" applyAlignment="1">
      <alignment horizontal="center" vertical="center" wrapText="1"/>
      <protection/>
    </xf>
    <xf numFmtId="0" fontId="39" fillId="0" borderId="14" xfId="112" applyFont="1" applyBorder="1">
      <alignment/>
      <protection/>
    </xf>
    <xf numFmtId="0" fontId="39" fillId="0" borderId="14" xfId="0" applyFont="1" applyFill="1" applyBorder="1" applyAlignment="1">
      <alignment vertical="top" wrapText="1"/>
    </xf>
    <xf numFmtId="0" fontId="40" fillId="0" borderId="0" xfId="112" applyFont="1">
      <alignment/>
      <protection/>
    </xf>
    <xf numFmtId="49" fontId="42" fillId="0" borderId="14" xfId="112" applyNumberFormat="1" applyFont="1" applyFill="1" applyBorder="1" applyAlignment="1">
      <alignment horizontal="center" vertical="center" wrapText="1"/>
      <protection/>
    </xf>
    <xf numFmtId="0" fontId="42" fillId="0" borderId="14" xfId="112" applyFont="1" applyBorder="1">
      <alignment/>
      <protection/>
    </xf>
    <xf numFmtId="0" fontId="42" fillId="0" borderId="14" xfId="0" applyFont="1" applyFill="1" applyBorder="1" applyAlignment="1">
      <alignment vertical="top" wrapText="1"/>
    </xf>
    <xf numFmtId="4" fontId="42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8" fillId="0" borderId="0" xfId="112" applyFont="1" applyAlignment="1">
      <alignment wrapText="1"/>
      <protection/>
    </xf>
    <xf numFmtId="0" fontId="35" fillId="0" borderId="15" xfId="112" applyFont="1" applyFill="1" applyBorder="1" applyAlignment="1">
      <alignment horizontal="center" wrapText="1"/>
      <protection/>
    </xf>
    <xf numFmtId="4" fontId="35" fillId="0" borderId="15" xfId="107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1" fillId="0" borderId="14" xfId="0" applyFont="1" applyBorder="1" applyAlignment="1">
      <alignment/>
    </xf>
    <xf numFmtId="4" fontId="27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0" fontId="31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 wrapText="1"/>
    </xf>
    <xf numFmtId="2" fontId="35" fillId="52" borderId="14" xfId="112" applyNumberFormat="1" applyFont="1" applyFill="1" applyBorder="1" applyAlignment="1">
      <alignment horizontal="center"/>
      <protection/>
    </xf>
    <xf numFmtId="0" fontId="0" fillId="0" borderId="14" xfId="112" applyFont="1" applyFill="1" applyBorder="1">
      <alignment/>
      <protection/>
    </xf>
    <xf numFmtId="0" fontId="40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0" fillId="0" borderId="14" xfId="0" applyFont="1" applyFill="1" applyBorder="1" applyAlignment="1">
      <alignment/>
    </xf>
    <xf numFmtId="4" fontId="40" fillId="0" borderId="14" xfId="0" applyNumberFormat="1" applyFont="1" applyBorder="1" applyAlignment="1">
      <alignment wrapText="1"/>
    </xf>
    <xf numFmtId="4" fontId="0" fillId="52" borderId="14" xfId="0" applyNumberFormat="1" applyFill="1" applyBorder="1" applyAlignment="1">
      <alignment/>
    </xf>
    <xf numFmtId="0" fontId="40" fillId="0" borderId="14" xfId="0" applyFont="1" applyBorder="1" applyAlignment="1">
      <alignment/>
    </xf>
    <xf numFmtId="186" fontId="40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40" fillId="0" borderId="14" xfId="0" applyNumberFormat="1" applyFont="1" applyFill="1" applyBorder="1" applyAlignment="1">
      <alignment wrapText="1"/>
    </xf>
    <xf numFmtId="2" fontId="40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0" fontId="20" fillId="0" borderId="14" xfId="107" applyFont="1" applyBorder="1" applyAlignment="1">
      <alignment horizontal="center" vertical="center" wrapText="1"/>
      <protection/>
    </xf>
    <xf numFmtId="0" fontId="35" fillId="0" borderId="14" xfId="112" applyFont="1" applyFill="1" applyBorder="1" applyAlignment="1">
      <alignment horizontal="center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94" fontId="36" fillId="53" borderId="14" xfId="0" applyNumberFormat="1" applyFont="1" applyFill="1" applyBorder="1" applyAlignment="1">
      <alignment horizontal="center" vertical="center"/>
    </xf>
    <xf numFmtId="4" fontId="36" fillId="53" borderId="14" xfId="94" applyNumberFormat="1" applyFont="1" applyFill="1" applyBorder="1" applyAlignment="1">
      <alignment horizontal="center" vertical="center"/>
      <protection/>
    </xf>
    <xf numFmtId="4" fontId="39" fillId="52" borderId="14" xfId="107" applyNumberFormat="1" applyFont="1" applyFill="1" applyBorder="1" applyAlignment="1">
      <alignment horizontal="center"/>
      <protection/>
    </xf>
    <xf numFmtId="0" fontId="35" fillId="0" borderId="14" xfId="112" applyFont="1" applyFill="1" applyBorder="1" applyAlignment="1">
      <alignment horizontal="center"/>
      <protection/>
    </xf>
    <xf numFmtId="0" fontId="44" fillId="0" borderId="0" xfId="112" applyFont="1">
      <alignment/>
      <protection/>
    </xf>
    <xf numFmtId="0" fontId="40" fillId="0" borderId="0" xfId="112" applyFont="1" applyFill="1">
      <alignment/>
      <protection/>
    </xf>
    <xf numFmtId="1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36" fillId="53" borderId="14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0" fontId="0" fillId="46" borderId="14" xfId="0" applyFill="1" applyBorder="1" applyAlignment="1">
      <alignment/>
    </xf>
    <xf numFmtId="14" fontId="0" fillId="46" borderId="14" xfId="0" applyNumberFormat="1" applyFill="1" applyBorder="1" applyAlignment="1">
      <alignment/>
    </xf>
    <xf numFmtId="4" fontId="36" fillId="54" borderId="14" xfId="107" applyNumberFormat="1" applyFont="1" applyFill="1" applyBorder="1" applyAlignment="1">
      <alignment horizontal="center"/>
      <protection/>
    </xf>
    <xf numFmtId="4" fontId="42" fillId="54" borderId="14" xfId="107" applyNumberFormat="1" applyFont="1" applyFill="1" applyBorder="1" applyAlignment="1">
      <alignment horizontal="center"/>
      <protection/>
    </xf>
    <xf numFmtId="4" fontId="39" fillId="54" borderId="14" xfId="107" applyNumberFormat="1" applyFont="1" applyFill="1" applyBorder="1" applyAlignment="1">
      <alignment horizontal="center"/>
      <protection/>
    </xf>
    <xf numFmtId="4" fontId="0" fillId="54" borderId="14" xfId="0" applyNumberFormat="1" applyFont="1" applyFill="1" applyBorder="1" applyAlignment="1">
      <alignment/>
    </xf>
    <xf numFmtId="4" fontId="0" fillId="55" borderId="14" xfId="0" applyNumberFormat="1" applyFill="1" applyBorder="1" applyAlignment="1">
      <alignment wrapText="1"/>
    </xf>
    <xf numFmtId="4" fontId="4" fillId="55" borderId="14" xfId="0" applyNumberFormat="1" applyFont="1" applyFill="1" applyBorder="1" applyAlignment="1">
      <alignment wrapText="1"/>
    </xf>
    <xf numFmtId="0" fontId="36" fillId="0" borderId="14" xfId="112" applyFont="1" applyFill="1" applyBorder="1" applyAlignment="1">
      <alignment horizontal="left" vertical="top" wrapText="1"/>
      <protection/>
    </xf>
    <xf numFmtId="0" fontId="35" fillId="54" borderId="14" xfId="112" applyFont="1" applyFill="1" applyBorder="1" applyAlignment="1">
      <alignment horizontal="center"/>
      <protection/>
    </xf>
    <xf numFmtId="0" fontId="36" fillId="54" borderId="14" xfId="112" applyFont="1" applyFill="1" applyBorder="1" applyAlignment="1">
      <alignment horizontal="left" vertical="top" wrapText="1"/>
      <protection/>
    </xf>
    <xf numFmtId="4" fontId="36" fillId="54" borderId="14" xfId="94" applyNumberFormat="1" applyFont="1" applyFill="1" applyBorder="1" applyAlignment="1">
      <alignment horizontal="center" vertical="center"/>
      <protection/>
    </xf>
    <xf numFmtId="0" fontId="0" fillId="54" borderId="0" xfId="112" applyFont="1" applyFill="1">
      <alignment/>
      <protection/>
    </xf>
    <xf numFmtId="4" fontId="64" fillId="0" borderId="14" xfId="107" applyNumberFormat="1" applyFont="1" applyFill="1" applyBorder="1" applyAlignment="1">
      <alignment horizontal="center"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5" fillId="0" borderId="14" xfId="107" applyNumberFormat="1" applyFont="1" applyFill="1" applyBorder="1" applyAlignment="1">
      <alignment horizontal="center"/>
      <protection/>
    </xf>
    <xf numFmtId="4" fontId="65" fillId="54" borderId="14" xfId="107" applyNumberFormat="1" applyFont="1" applyFill="1" applyBorder="1" applyAlignment="1">
      <alignment horizontal="center"/>
      <protection/>
    </xf>
    <xf numFmtId="14" fontId="0" fillId="0" borderId="14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0" fillId="46" borderId="14" xfId="0" applyNumberFormat="1" applyFont="1" applyFill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0" fontId="35" fillId="53" borderId="0" xfId="112" applyFont="1" applyFill="1" applyBorder="1" applyAlignment="1">
      <alignment/>
      <protection/>
    </xf>
    <xf numFmtId="0" fontId="5" fillId="0" borderId="14" xfId="112" applyFont="1" applyBorder="1">
      <alignment/>
      <protection/>
    </xf>
    <xf numFmtId="4" fontId="35" fillId="0" borderId="14" xfId="131" applyNumberFormat="1" applyFont="1" applyFill="1" applyBorder="1" applyAlignment="1">
      <alignment horizontal="center" vertical="center"/>
    </xf>
    <xf numFmtId="16" fontId="35" fillId="53" borderId="0" xfId="112" applyNumberFormat="1" applyFont="1" applyFill="1" applyBorder="1" applyAlignment="1">
      <alignment horizontal="center"/>
      <protection/>
    </xf>
    <xf numFmtId="0" fontId="36" fillId="53" borderId="0" xfId="112" applyFont="1" applyFill="1" applyBorder="1">
      <alignment/>
      <protection/>
    </xf>
    <xf numFmtId="0" fontId="45" fillId="53" borderId="0" xfId="112" applyFont="1" applyFill="1" applyBorder="1" applyAlignment="1">
      <alignment horizontal="center" vertical="center" wrapText="1"/>
      <protection/>
    </xf>
    <xf numFmtId="4" fontId="35" fillId="53" borderId="0" xfId="131" applyNumberFormat="1" applyFont="1" applyFill="1" applyBorder="1" applyAlignment="1">
      <alignment horizontal="center" vertical="center"/>
    </xf>
    <xf numFmtId="49" fontId="36" fillId="0" borderId="0" xfId="112" applyNumberFormat="1" applyFont="1" applyFill="1" applyBorder="1" applyAlignment="1">
      <alignment horizontal="center" vertical="center" wrapText="1"/>
      <protection/>
    </xf>
    <xf numFmtId="0" fontId="36" fillId="0" borderId="0" xfId="112" applyFont="1">
      <alignment/>
      <protection/>
    </xf>
    <xf numFmtId="0" fontId="36" fillId="0" borderId="0" xfId="112" applyFont="1" applyBorder="1" applyAlignment="1">
      <alignment vertical="top" wrapText="1"/>
      <protection/>
    </xf>
    <xf numFmtId="190" fontId="38" fillId="0" borderId="0" xfId="131" applyNumberFormat="1" applyFont="1" applyFill="1" applyBorder="1" applyAlignment="1">
      <alignment horizontal="center" vertical="center" wrapText="1"/>
    </xf>
    <xf numFmtId="0" fontId="32" fillId="0" borderId="0" xfId="112" applyFont="1" applyAlignment="1">
      <alignment/>
      <protection/>
    </xf>
    <xf numFmtId="0" fontId="46" fillId="0" borderId="0" xfId="112" applyFont="1" applyAlignment="1">
      <alignment/>
      <protection/>
    </xf>
    <xf numFmtId="0" fontId="35" fillId="0" borderId="17" xfId="112" applyFont="1" applyBorder="1" applyAlignment="1">
      <alignment horizontal="center" wrapText="1"/>
      <protection/>
    </xf>
    <xf numFmtId="0" fontId="35" fillId="0" borderId="18" xfId="112" applyFont="1" applyBorder="1" applyAlignment="1">
      <alignment horizont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0" xfId="112" applyFont="1" applyAlignment="1">
      <alignment horizontal="center"/>
      <protection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5" fillId="0" borderId="17" xfId="112" applyFont="1" applyFill="1" applyBorder="1" applyAlignment="1">
      <alignment horizontal="center" wrapText="1"/>
      <protection/>
    </xf>
    <xf numFmtId="0" fontId="35" fillId="0" borderId="18" xfId="112" applyFont="1" applyFill="1" applyBorder="1" applyAlignment="1">
      <alignment horizontal="center" wrapText="1"/>
      <protection/>
    </xf>
    <xf numFmtId="0" fontId="35" fillId="0" borderId="20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8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5" fillId="0" borderId="14" xfId="112" applyFont="1" applyBorder="1" applyAlignment="1">
      <alignment horizontal="center" vertical="center"/>
      <protection/>
    </xf>
    <xf numFmtId="0" fontId="32" fillId="0" borderId="0" xfId="112" applyFont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5" fillId="0" borderId="21" xfId="112" applyFont="1" applyBorder="1" applyAlignment="1">
      <alignment horizontal="center" wrapText="1"/>
      <protection/>
    </xf>
    <xf numFmtId="0" fontId="35" fillId="0" borderId="22" xfId="112" applyFont="1" applyBorder="1" applyAlignment="1">
      <alignment horizontal="center" wrapText="1"/>
      <protection/>
    </xf>
    <xf numFmtId="0" fontId="46" fillId="0" borderId="0" xfId="112" applyFont="1" applyAlignment="1">
      <alignment horizontal="left" wrapText="1"/>
      <protection/>
    </xf>
    <xf numFmtId="0" fontId="46" fillId="0" borderId="0" xfId="112" applyFont="1" applyAlignment="1">
      <alignment horizontal="left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view="pageBreakPreview" zoomScale="66" zoomScaleNormal="67" zoomScaleSheetLayoutView="66" workbookViewId="0" topLeftCell="A2">
      <pane xSplit="2" ySplit="9" topLeftCell="C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5" sqref="J5"/>
    </sheetView>
  </sheetViews>
  <sheetFormatPr defaultColWidth="9.33203125" defaultRowHeight="12.75"/>
  <cols>
    <col min="1" max="1" width="8.5" style="4" customWidth="1"/>
    <col min="2" max="2" width="145.33203125" style="4" customWidth="1"/>
    <col min="3" max="3" width="26.33203125" style="13" customWidth="1"/>
    <col min="4" max="4" width="23.33203125" style="4" customWidth="1"/>
    <col min="5" max="5" width="21.66015625" style="4" customWidth="1"/>
    <col min="6" max="6" width="22" style="4" customWidth="1"/>
    <col min="7" max="7" width="24.16015625" style="4" customWidth="1"/>
    <col min="8" max="8" width="23.66015625" style="4" customWidth="1"/>
    <col min="9" max="11" width="9.33203125" style="4" customWidth="1"/>
    <col min="12" max="16384" width="9.33203125" style="4" customWidth="1"/>
  </cols>
  <sheetData>
    <row r="1" spans="3:6" ht="74.25" customHeight="1" hidden="1">
      <c r="C1" s="147" t="s">
        <v>29</v>
      </c>
      <c r="D1" s="148"/>
      <c r="E1" s="26"/>
      <c r="F1" s="26"/>
    </row>
    <row r="2" spans="2:6" ht="39.75" customHeight="1">
      <c r="B2" s="87"/>
      <c r="C2" s="37"/>
      <c r="D2" s="26"/>
      <c r="E2" s="26"/>
      <c r="F2" s="26"/>
    </row>
    <row r="3" spans="1:8" ht="21" customHeight="1">
      <c r="A3" s="140" t="s">
        <v>165</v>
      </c>
      <c r="B3" s="140"/>
      <c r="C3" s="140"/>
      <c r="D3" s="140"/>
      <c r="E3" s="140"/>
      <c r="F3" s="140"/>
      <c r="G3" s="140"/>
      <c r="H3" s="140"/>
    </row>
    <row r="4" spans="1:8" ht="20.25" customHeight="1">
      <c r="A4" s="150" t="s">
        <v>166</v>
      </c>
      <c r="B4" s="150"/>
      <c r="C4" s="150"/>
      <c r="D4" s="150"/>
      <c r="E4" s="150"/>
      <c r="F4" s="150"/>
      <c r="G4" s="150"/>
      <c r="H4" s="150"/>
    </row>
    <row r="5" spans="1:6" ht="20.25" customHeight="1">
      <c r="A5" s="27"/>
      <c r="B5" s="27"/>
      <c r="C5" s="27"/>
      <c r="D5" s="27"/>
      <c r="E5" s="27"/>
      <c r="F5" s="27"/>
    </row>
    <row r="6" spans="2:8" ht="13.5" customHeight="1">
      <c r="B6" s="6"/>
      <c r="C6" s="5"/>
      <c r="D6" s="14"/>
      <c r="E6" s="14"/>
      <c r="F6" s="14"/>
      <c r="H6" s="14" t="s">
        <v>37</v>
      </c>
    </row>
    <row r="7" spans="1:8" ht="12" customHeight="1">
      <c r="A7" s="149" t="s">
        <v>19</v>
      </c>
      <c r="B7" s="149" t="s">
        <v>0</v>
      </c>
      <c r="C7" s="146" t="s">
        <v>1</v>
      </c>
      <c r="D7" s="146" t="s">
        <v>31</v>
      </c>
      <c r="E7" s="146" t="s">
        <v>71</v>
      </c>
      <c r="F7" s="16" t="s">
        <v>72</v>
      </c>
      <c r="G7" s="141" t="s">
        <v>180</v>
      </c>
      <c r="H7" s="138" t="s">
        <v>2</v>
      </c>
    </row>
    <row r="8" spans="1:8" ht="39.75" customHeight="1">
      <c r="A8" s="149"/>
      <c r="B8" s="149"/>
      <c r="C8" s="146"/>
      <c r="D8" s="146"/>
      <c r="E8" s="146"/>
      <c r="F8" s="80" t="s">
        <v>73</v>
      </c>
      <c r="G8" s="142"/>
      <c r="H8" s="139"/>
    </row>
    <row r="9" spans="1:8" ht="1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</row>
    <row r="10" spans="1:8" s="17" customFormat="1" ht="19.5" customHeight="1">
      <c r="A10" s="136" t="s">
        <v>21</v>
      </c>
      <c r="B10" s="137"/>
      <c r="C10" s="137"/>
      <c r="D10" s="137"/>
      <c r="E10" s="137"/>
      <c r="F10" s="137"/>
      <c r="G10" s="137"/>
      <c r="H10" s="137"/>
    </row>
    <row r="11" spans="1:8" ht="17.25">
      <c r="A11" s="7">
        <v>1</v>
      </c>
      <c r="B11" s="9" t="s">
        <v>20</v>
      </c>
      <c r="C11" s="10">
        <f>C12+C28</f>
        <v>215098507.23000002</v>
      </c>
      <c r="D11" s="10">
        <f>D12+D28</f>
        <v>172325313.77</v>
      </c>
      <c r="E11" s="10">
        <f>E12+E28</f>
        <v>42773193.45999999</v>
      </c>
      <c r="F11" s="10">
        <f>F12+F28</f>
        <v>42755704.95999999</v>
      </c>
      <c r="G11" s="10">
        <f>G12+G28</f>
        <v>168076907.58999997</v>
      </c>
      <c r="H11" s="55">
        <f>G11/C11*100</f>
        <v>78.13950443192947</v>
      </c>
    </row>
    <row r="12" spans="1:8" ht="18">
      <c r="A12" s="11"/>
      <c r="B12" s="38" t="s">
        <v>22</v>
      </c>
      <c r="C12" s="39">
        <f>SUM(C13:C19)+C20</f>
        <v>172342802.27</v>
      </c>
      <c r="D12" s="39">
        <f>SUM(D13:D19)+D20</f>
        <v>172325313.77</v>
      </c>
      <c r="E12" s="39">
        <f>E20</f>
        <v>17488.5</v>
      </c>
      <c r="F12" s="39"/>
      <c r="G12" s="39">
        <f>G13+G16+G17+G18+G20+G19</f>
        <v>148549817.58999997</v>
      </c>
      <c r="H12" s="82">
        <f>G12/C12*100</f>
        <v>86.1943844671129</v>
      </c>
    </row>
    <row r="13" spans="1:8" ht="17.25" customHeight="1">
      <c r="A13" s="11"/>
      <c r="B13" s="18" t="s">
        <v>23</v>
      </c>
      <c r="C13" s="97">
        <f>D13</f>
        <v>48899000</v>
      </c>
      <c r="D13" s="19">
        <f>27097886-5000000+28000000-115412-1083474</f>
        <v>48899000</v>
      </c>
      <c r="E13" s="19"/>
      <c r="F13" s="19"/>
      <c r="G13" s="19">
        <f>4629258.74+5020395.05+4492589.01+3540712.28+2997759.26+9002748.95+921058.81+3027987.76+997699.78+2638726.63+4995355.03+545154.62+5800660.88</f>
        <v>48610106.8</v>
      </c>
      <c r="H13" s="19">
        <f>G13/C13*100</f>
        <v>99.40920427820609</v>
      </c>
    </row>
    <row r="14" spans="1:8" ht="18.75" customHeight="1" hidden="1">
      <c r="A14" s="11"/>
      <c r="B14" s="18" t="s">
        <v>24</v>
      </c>
      <c r="C14" s="97">
        <f aca="true" t="shared" si="0" ref="C14:C19">D14</f>
        <v>0</v>
      </c>
      <c r="D14" s="19">
        <f>1500003-1500003</f>
        <v>0</v>
      </c>
      <c r="E14" s="19"/>
      <c r="F14" s="19"/>
      <c r="G14" s="15"/>
      <c r="H14" s="19" t="e">
        <f>G14/C14*100</f>
        <v>#DIV/0!</v>
      </c>
    </row>
    <row r="15" spans="1:8" ht="18.75" customHeight="1" hidden="1">
      <c r="A15" s="11"/>
      <c r="B15" s="18" t="s">
        <v>25</v>
      </c>
      <c r="C15" s="97">
        <f t="shared" si="0"/>
        <v>0</v>
      </c>
      <c r="D15" s="19">
        <f>2600002-2600002</f>
        <v>0</v>
      </c>
      <c r="E15" s="19"/>
      <c r="F15" s="19"/>
      <c r="G15" s="15"/>
      <c r="H15" s="19" t="e">
        <f>G15/C15*100</f>
        <v>#DIV/0!</v>
      </c>
    </row>
    <row r="16" spans="1:8" s="21" customFormat="1" ht="18">
      <c r="A16" s="11"/>
      <c r="B16" s="18" t="s">
        <v>26</v>
      </c>
      <c r="C16" s="97">
        <f t="shared" si="0"/>
        <v>6300000</v>
      </c>
      <c r="D16" s="19">
        <f>8100000-1800000</f>
        <v>6300000</v>
      </c>
      <c r="E16" s="19"/>
      <c r="F16" s="19"/>
      <c r="G16" s="19">
        <f>20170.53+77484.56+85678.89+122168.24+192086.34+54904.58+45760.47+58368.76+198912.64+60311.08+198083.99+128752.53+1422196.2+197107.57+156906.83+178881.99+111942.16+62376.16+365673.68+198959.17+119795.62+1585698.88+199396.84+344461+41925+71808</f>
        <v>6299811.709999999</v>
      </c>
      <c r="H16" s="19">
        <f>G16/C16*100</f>
        <v>99.99701126984125</v>
      </c>
    </row>
    <row r="17" spans="1:8" ht="18">
      <c r="A17" s="11"/>
      <c r="B17" s="18" t="s">
        <v>30</v>
      </c>
      <c r="C17" s="97">
        <f t="shared" si="0"/>
        <v>4900000</v>
      </c>
      <c r="D17" s="19">
        <f>6000002-1100002</f>
        <v>4900000</v>
      </c>
      <c r="E17" s="19"/>
      <c r="F17" s="19"/>
      <c r="G17" s="19">
        <f>376653+339083+417231+416958+418687+427407+419602+420716+434442+440841+416379</f>
        <v>4527999</v>
      </c>
      <c r="H17" s="19">
        <f>G17/C17*100</f>
        <v>92.40814285714286</v>
      </c>
    </row>
    <row r="18" spans="1:8" ht="36.75" customHeight="1">
      <c r="A18" s="11"/>
      <c r="B18" s="18" t="s">
        <v>27</v>
      </c>
      <c r="C18" s="97">
        <f t="shared" si="0"/>
        <v>50000</v>
      </c>
      <c r="D18" s="19">
        <f>250000-200000</f>
        <v>50000</v>
      </c>
      <c r="E18" s="19"/>
      <c r="F18" s="19"/>
      <c r="G18" s="19"/>
      <c r="H18" s="108">
        <f>G18/C18*100</f>
        <v>0</v>
      </c>
    </row>
    <row r="19" spans="1:8" ht="18">
      <c r="A19" s="11"/>
      <c r="B19" s="18" t="s">
        <v>75</v>
      </c>
      <c r="C19" s="97">
        <f t="shared" si="0"/>
        <v>28486500</v>
      </c>
      <c r="D19" s="19">
        <f>20164500+11000000-21000000+21822000-3500000</f>
        <v>28486500</v>
      </c>
      <c r="E19" s="19"/>
      <c r="F19" s="19"/>
      <c r="G19" s="19">
        <f>587301.68+610841.84+234673.88+967595.81+1247319.32+1356604.14+1119693.42+3737315.64+48417.39</f>
        <v>9909763.120000001</v>
      </c>
      <c r="H19" s="19">
        <f>G19/C19*100</f>
        <v>34.78757699261054</v>
      </c>
    </row>
    <row r="20" spans="1:8" s="36" customFormat="1" ht="36">
      <c r="A20" s="32"/>
      <c r="B20" s="34" t="s">
        <v>33</v>
      </c>
      <c r="C20" s="98">
        <f>D20+E20</f>
        <v>83707302.27000001</v>
      </c>
      <c r="D20" s="35">
        <f>SUM(D21:D27)</f>
        <v>83689813.77000001</v>
      </c>
      <c r="E20" s="35">
        <f>SUM(E21:E27)</f>
        <v>17488.5</v>
      </c>
      <c r="F20" s="35"/>
      <c r="G20" s="35">
        <f>SUM(G21:G27)</f>
        <v>79202136.95999998</v>
      </c>
      <c r="H20" s="35">
        <f>G20/C20*100</f>
        <v>94.61795424314535</v>
      </c>
    </row>
    <row r="21" spans="1:8" s="31" customFormat="1" ht="18" customHeight="1">
      <c r="A21" s="28"/>
      <c r="B21" s="22" t="s">
        <v>23</v>
      </c>
      <c r="C21" s="99">
        <f aca="true" t="shared" si="1" ref="C21:C27">D21</f>
        <v>32768180.76</v>
      </c>
      <c r="D21" s="23">
        <f>5000000+23514898.64+4253282.12</f>
        <v>32768180.76</v>
      </c>
      <c r="E21" s="82"/>
      <c r="F21" s="23"/>
      <c r="G21" s="23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+59756.07+292324.41+641987.81+88455.4+321636.18+20131.78+822261.82+365806.15+19600+590976.61+59498.1+783605.33+177401.56+84585.98+19401.71+336914.47+5016.65</f>
        <v>31896648.45999999</v>
      </c>
      <c r="H21" s="23">
        <f>G21/C21*100</f>
        <v>97.34030916643414</v>
      </c>
    </row>
    <row r="22" spans="1:8" s="31" customFormat="1" ht="18">
      <c r="A22" s="28"/>
      <c r="B22" s="22" t="s">
        <v>24</v>
      </c>
      <c r="C22" s="99">
        <f t="shared" si="1"/>
        <v>1500003</v>
      </c>
      <c r="D22" s="23">
        <f>1500003</f>
        <v>1500003</v>
      </c>
      <c r="E22" s="82"/>
      <c r="F22" s="23"/>
      <c r="G22" s="23">
        <f>162000+142046.85+22599.96+289219.34+154661.51+9279.54+10741.39+385204.21+30692.76+34689.28+33376.87+70286.42</f>
        <v>1344798.1300000001</v>
      </c>
      <c r="H22" s="23">
        <f>G22/C22*100</f>
        <v>89.65302936060795</v>
      </c>
    </row>
    <row r="23" spans="1:8" s="31" customFormat="1" ht="18">
      <c r="A23" s="28"/>
      <c r="B23" s="22" t="s">
        <v>25</v>
      </c>
      <c r="C23" s="99">
        <f t="shared" si="1"/>
        <v>2600002</v>
      </c>
      <c r="D23" s="23">
        <f>2600002</f>
        <v>2600002</v>
      </c>
      <c r="E23" s="82"/>
      <c r="F23" s="23"/>
      <c r="G23" s="23">
        <f>598267.95+872792.19+173600+142999.8+84590.4+13158+103269.34+74373.5+108706.88+249439.78+36172.98+82100.06</f>
        <v>2539470.88</v>
      </c>
      <c r="H23" s="23">
        <f>G23/C23*100</f>
        <v>97.67188179086016</v>
      </c>
    </row>
    <row r="24" spans="1:8" s="88" customFormat="1" ht="18">
      <c r="A24" s="28"/>
      <c r="B24" s="22" t="s">
        <v>76</v>
      </c>
      <c r="C24" s="99">
        <f t="shared" si="1"/>
        <v>1800000</v>
      </c>
      <c r="D24" s="23">
        <f>1800000</f>
        <v>1800000</v>
      </c>
      <c r="E24" s="82"/>
      <c r="F24" s="23"/>
      <c r="G24" s="23">
        <f>17849.82+141510.94+60763+146073+27939.59+150726.82+46506.53+48541.36+54928.87+48295.79+199790.76+37142.68+25185.9+42165.76+33343.37+40500+227222.65+41199.96+26400+41854.42+227222.65+16831.64+29553.85+39255.85+5500+21042.66</f>
        <v>1797347.8699999999</v>
      </c>
      <c r="H24" s="23">
        <f>G24/C24*100</f>
        <v>99.85265944444444</v>
      </c>
    </row>
    <row r="25" spans="1:8" s="31" customFormat="1" ht="18">
      <c r="A25" s="28"/>
      <c r="B25" s="30" t="s">
        <v>34</v>
      </c>
      <c r="C25" s="99">
        <f t="shared" si="1"/>
        <v>4400007</v>
      </c>
      <c r="D25" s="23">
        <f>5400007-1000000</f>
        <v>4400007</v>
      </c>
      <c r="E25" s="82"/>
      <c r="F25" s="23"/>
      <c r="G25" s="23">
        <f>118097.53+230632.96+117705.2+304713.47+335975.53+353427+147169.89+522600+2698+251898+387133+794872.33+259225+418901</f>
        <v>4245048.91</v>
      </c>
      <c r="H25" s="23">
        <f>G25/C25*100</f>
        <v>96.47823083008731</v>
      </c>
    </row>
    <row r="26" spans="1:8" s="31" customFormat="1" ht="18">
      <c r="A26" s="28"/>
      <c r="B26" s="22" t="s">
        <v>30</v>
      </c>
      <c r="C26" s="99">
        <f>D26+E26</f>
        <v>1277490.5</v>
      </c>
      <c r="D26" s="23">
        <f>1100002+400000-240000</f>
        <v>1260002</v>
      </c>
      <c r="E26" s="23">
        <f>17488.5</f>
        <v>17488.5</v>
      </c>
      <c r="F26" s="23"/>
      <c r="G26" s="23">
        <f>196020+197666.43+2126+26523.36+17240.18+171901.73+5161.47+88619.9+900+123526.8+21399.73</f>
        <v>851085.6</v>
      </c>
      <c r="H26" s="23">
        <f>G26/C26*100</f>
        <v>66.62167742147594</v>
      </c>
    </row>
    <row r="27" spans="1:8" s="31" customFormat="1" ht="54">
      <c r="A27" s="28"/>
      <c r="B27" s="22" t="s">
        <v>35</v>
      </c>
      <c r="C27" s="99">
        <f t="shared" si="1"/>
        <v>39361619.01</v>
      </c>
      <c r="D27" s="23">
        <f>21000000+15534501.33+2827117.68</f>
        <v>39361619.01</v>
      </c>
      <c r="E27" s="82"/>
      <c r="F27" s="23"/>
      <c r="G27" s="23">
        <f>27668747.96+240329.07+67267.38+14052.16+360880.56+3681.25+1121784.8+25368.46+328826.5+260000+12338+37950.68+140000+384399.96+379113.62+210300+12500+10596+329795.44+455923.61+226385.89+428335.14+79163.86+16814.11+20047.2+330694.42+9897.73+373748.69+273796.7+294893.28+480147.36+237346.39+437234.22+1167955.98+72890.15+14530.54</f>
        <v>36527737.11</v>
      </c>
      <c r="H27" s="23">
        <f>G27/C27*100</f>
        <v>92.80039294298327</v>
      </c>
    </row>
    <row r="28" spans="1:8" ht="18">
      <c r="A28" s="28"/>
      <c r="B28" s="81" t="s">
        <v>69</v>
      </c>
      <c r="C28" s="82">
        <f>D28+E28</f>
        <v>42755704.95999999</v>
      </c>
      <c r="D28" s="23"/>
      <c r="E28" s="82">
        <f>F28</f>
        <v>42755704.95999999</v>
      </c>
      <c r="F28" s="82">
        <f>SUM(F29:F73)</f>
        <v>42755704.95999999</v>
      </c>
      <c r="G28" s="82">
        <f>SUM(G29:G73)</f>
        <v>19527090</v>
      </c>
      <c r="H28" s="82">
        <f>G28/C28*100</f>
        <v>45.67130870200486</v>
      </c>
    </row>
    <row r="29" spans="1:8" s="31" customFormat="1" ht="36">
      <c r="A29" s="28"/>
      <c r="B29" s="18" t="s">
        <v>153</v>
      </c>
      <c r="C29" s="19">
        <f>E29</f>
        <v>3655000</v>
      </c>
      <c r="D29" s="19"/>
      <c r="E29" s="19">
        <f>F29</f>
        <v>3655000</v>
      </c>
      <c r="F29" s="19">
        <v>3655000</v>
      </c>
      <c r="G29" s="57"/>
      <c r="H29" s="57"/>
    </row>
    <row r="30" spans="1:8" ht="36">
      <c r="A30" s="28"/>
      <c r="B30" s="92" t="s">
        <v>77</v>
      </c>
      <c r="C30" s="19">
        <f>D30+E30</f>
        <v>1500000</v>
      </c>
      <c r="D30" s="23"/>
      <c r="E30" s="83">
        <f aca="true" t="shared" si="2" ref="E30:E73">F30</f>
        <v>1500000</v>
      </c>
      <c r="F30" s="83">
        <v>1500000</v>
      </c>
      <c r="G30" s="83">
        <f>59000+29060+900000+476523.19+11439</f>
        <v>1476022.19</v>
      </c>
      <c r="H30" s="19">
        <f>G30/C30*100</f>
        <v>98.40147933333333</v>
      </c>
    </row>
    <row r="31" spans="1:8" ht="18">
      <c r="A31" s="28"/>
      <c r="B31" s="103" t="s">
        <v>83</v>
      </c>
      <c r="C31" s="19">
        <f aca="true" t="shared" si="3" ref="C31:C73">E31</f>
        <v>720000</v>
      </c>
      <c r="D31" s="19"/>
      <c r="E31" s="19">
        <f t="shared" si="2"/>
        <v>720000</v>
      </c>
      <c r="F31" s="19">
        <f>300000+420000</f>
        <v>720000</v>
      </c>
      <c r="G31" s="83">
        <f>46000+539170.87</f>
        <v>585170.87</v>
      </c>
      <c r="H31" s="19">
        <f>G31/C31*100</f>
        <v>81.27373194444444</v>
      </c>
    </row>
    <row r="32" spans="1:8" ht="18">
      <c r="A32" s="28"/>
      <c r="B32" s="103" t="s">
        <v>84</v>
      </c>
      <c r="C32" s="19">
        <f t="shared" si="3"/>
        <v>300000</v>
      </c>
      <c r="D32" s="19"/>
      <c r="E32" s="19">
        <f t="shared" si="2"/>
        <v>300000</v>
      </c>
      <c r="F32" s="19">
        <f>3700000-3400000</f>
        <v>300000</v>
      </c>
      <c r="G32" s="83">
        <f>120000+106060+73940</f>
        <v>300000</v>
      </c>
      <c r="H32" s="19">
        <f>G32/C32*100</f>
        <v>100</v>
      </c>
    </row>
    <row r="33" spans="1:8" ht="18">
      <c r="A33" s="28"/>
      <c r="B33" s="103" t="s">
        <v>150</v>
      </c>
      <c r="C33" s="19">
        <f t="shared" si="3"/>
        <v>1154000</v>
      </c>
      <c r="D33" s="19"/>
      <c r="E33" s="19">
        <f t="shared" si="2"/>
        <v>1154000</v>
      </c>
      <c r="F33" s="19">
        <f>450000+704000</f>
        <v>1154000</v>
      </c>
      <c r="G33" s="83"/>
      <c r="H33" s="108">
        <f>G33/C33*100</f>
        <v>0</v>
      </c>
    </row>
    <row r="34" spans="1:8" ht="18">
      <c r="A34" s="28"/>
      <c r="B34" s="103" t="s">
        <v>85</v>
      </c>
      <c r="C34" s="19">
        <f t="shared" si="3"/>
        <v>112000</v>
      </c>
      <c r="D34" s="19"/>
      <c r="E34" s="19">
        <f t="shared" si="2"/>
        <v>112000</v>
      </c>
      <c r="F34" s="19">
        <v>112000</v>
      </c>
      <c r="G34" s="83">
        <v>111464.65</v>
      </c>
      <c r="H34" s="19">
        <f>G34/C34*100</f>
        <v>99.52200892857142</v>
      </c>
    </row>
    <row r="35" spans="1:8" ht="18">
      <c r="A35" s="28"/>
      <c r="B35" s="103" t="s">
        <v>145</v>
      </c>
      <c r="C35" s="19">
        <f t="shared" si="3"/>
        <v>300000</v>
      </c>
      <c r="D35" s="19"/>
      <c r="E35" s="19">
        <f t="shared" si="2"/>
        <v>300000</v>
      </c>
      <c r="F35" s="19">
        <v>300000</v>
      </c>
      <c r="G35" s="83"/>
      <c r="H35" s="108"/>
    </row>
    <row r="36" spans="1:8" ht="18">
      <c r="A36" s="28"/>
      <c r="B36" s="103" t="s">
        <v>141</v>
      </c>
      <c r="C36" s="19">
        <f t="shared" si="3"/>
        <v>1490000</v>
      </c>
      <c r="D36" s="19"/>
      <c r="E36" s="19">
        <f t="shared" si="2"/>
        <v>1490000</v>
      </c>
      <c r="F36" s="19">
        <v>1490000</v>
      </c>
      <c r="G36" s="83">
        <f>83220+850000</f>
        <v>933220</v>
      </c>
      <c r="H36" s="97">
        <f>G36/C36*100</f>
        <v>62.63221476510067</v>
      </c>
    </row>
    <row r="37" spans="1:8" ht="18">
      <c r="A37" s="28"/>
      <c r="B37" s="103" t="s">
        <v>86</v>
      </c>
      <c r="C37" s="19">
        <f t="shared" si="3"/>
        <v>23000</v>
      </c>
      <c r="D37" s="19"/>
      <c r="E37" s="19">
        <f t="shared" si="2"/>
        <v>23000</v>
      </c>
      <c r="F37" s="19">
        <f>375000-352000</f>
        <v>23000</v>
      </c>
      <c r="G37" s="83">
        <f>23000</f>
        <v>23000</v>
      </c>
      <c r="H37" s="19">
        <f>G37/C37*100</f>
        <v>100</v>
      </c>
    </row>
    <row r="38" spans="1:8" ht="18">
      <c r="A38" s="28"/>
      <c r="B38" s="103" t="s">
        <v>87</v>
      </c>
      <c r="C38" s="19">
        <f t="shared" si="3"/>
        <v>23000</v>
      </c>
      <c r="D38" s="19"/>
      <c r="E38" s="19">
        <f t="shared" si="2"/>
        <v>23000</v>
      </c>
      <c r="F38" s="19">
        <f>375000-352000</f>
        <v>23000</v>
      </c>
      <c r="G38" s="83">
        <f>23000</f>
        <v>23000</v>
      </c>
      <c r="H38" s="19">
        <f>G38/C38*100</f>
        <v>100</v>
      </c>
    </row>
    <row r="39" spans="1:8" ht="18">
      <c r="A39" s="28"/>
      <c r="B39" s="93" t="s">
        <v>143</v>
      </c>
      <c r="C39" s="19">
        <f t="shared" si="3"/>
        <v>163736</v>
      </c>
      <c r="D39" s="19"/>
      <c r="E39" s="19">
        <f t="shared" si="2"/>
        <v>163736</v>
      </c>
      <c r="F39" s="19">
        <v>163736</v>
      </c>
      <c r="G39" s="83"/>
      <c r="H39" s="108"/>
    </row>
    <row r="40" spans="1:8" ht="18">
      <c r="A40" s="28"/>
      <c r="B40" s="93" t="s">
        <v>144</v>
      </c>
      <c r="C40" s="19">
        <f t="shared" si="3"/>
        <v>262000</v>
      </c>
      <c r="D40" s="19"/>
      <c r="E40" s="19">
        <f t="shared" si="2"/>
        <v>262000</v>
      </c>
      <c r="F40" s="19">
        <v>262000</v>
      </c>
      <c r="G40" s="83"/>
      <c r="H40" s="108"/>
    </row>
    <row r="41" spans="1:8" ht="18" hidden="1">
      <c r="A41" s="28"/>
      <c r="B41" s="103" t="s">
        <v>88</v>
      </c>
      <c r="C41" s="19">
        <f t="shared" si="3"/>
        <v>0</v>
      </c>
      <c r="D41" s="19"/>
      <c r="E41" s="19">
        <f t="shared" si="2"/>
        <v>0</v>
      </c>
      <c r="F41" s="19">
        <f>1490000-1490000</f>
        <v>0</v>
      </c>
      <c r="G41" s="83"/>
      <c r="H41" s="108" t="e">
        <f>G41/C41*100</f>
        <v>#DIV/0!</v>
      </c>
    </row>
    <row r="42" spans="1:8" ht="18">
      <c r="A42" s="28"/>
      <c r="B42" s="103" t="s">
        <v>89</v>
      </c>
      <c r="C42" s="19">
        <f t="shared" si="3"/>
        <v>1400000</v>
      </c>
      <c r="D42" s="19"/>
      <c r="E42" s="19">
        <f t="shared" si="2"/>
        <v>1400000</v>
      </c>
      <c r="F42" s="19">
        <v>1400000</v>
      </c>
      <c r="G42" s="83">
        <f>64000+585000-0.01</f>
        <v>648999.99</v>
      </c>
      <c r="H42" s="19">
        <f>G42/C42*100</f>
        <v>46.35714214285714</v>
      </c>
    </row>
    <row r="43" spans="1:8" ht="18">
      <c r="A43" s="28"/>
      <c r="B43" s="103" t="s">
        <v>90</v>
      </c>
      <c r="C43" s="19">
        <f t="shared" si="3"/>
        <v>41000</v>
      </c>
      <c r="D43" s="19"/>
      <c r="E43" s="19">
        <f t="shared" si="2"/>
        <v>41000</v>
      </c>
      <c r="F43" s="19">
        <f>400000-359000</f>
        <v>41000</v>
      </c>
      <c r="G43" s="83">
        <f>41000</f>
        <v>41000</v>
      </c>
      <c r="H43" s="19">
        <f>G43/C43*100</f>
        <v>100</v>
      </c>
    </row>
    <row r="44" spans="1:8" ht="18">
      <c r="A44" s="28"/>
      <c r="B44" s="103" t="s">
        <v>91</v>
      </c>
      <c r="C44" s="19">
        <f t="shared" si="3"/>
        <v>90000</v>
      </c>
      <c r="D44" s="19"/>
      <c r="E44" s="19">
        <f t="shared" si="2"/>
        <v>90000</v>
      </c>
      <c r="F44" s="19">
        <f>1490000-1400000</f>
        <v>90000</v>
      </c>
      <c r="G44" s="83"/>
      <c r="H44" s="19"/>
    </row>
    <row r="45" spans="1:8" ht="18">
      <c r="A45" s="28"/>
      <c r="B45" s="103" t="s">
        <v>92</v>
      </c>
      <c r="C45" s="19">
        <f t="shared" si="3"/>
        <v>760000</v>
      </c>
      <c r="D45" s="19"/>
      <c r="E45" s="19">
        <f t="shared" si="2"/>
        <v>760000</v>
      </c>
      <c r="F45" s="19">
        <v>760000</v>
      </c>
      <c r="G45" s="83">
        <f>37000+357721</f>
        <v>394721</v>
      </c>
      <c r="H45" s="19">
        <f>G45/C45*100</f>
        <v>51.93697368421053</v>
      </c>
    </row>
    <row r="46" spans="1:8" ht="18">
      <c r="A46" s="28"/>
      <c r="B46" s="103" t="s">
        <v>93</v>
      </c>
      <c r="C46" s="19">
        <f t="shared" si="3"/>
        <v>300194</v>
      </c>
      <c r="D46" s="19"/>
      <c r="E46" s="19">
        <f t="shared" si="2"/>
        <v>300194</v>
      </c>
      <c r="F46" s="19">
        <f>360834-60640</f>
        <v>300194</v>
      </c>
      <c r="G46" s="83">
        <f>144314+155877</f>
        <v>300191</v>
      </c>
      <c r="H46" s="19">
        <f>G46/C46*100</f>
        <v>99.99900064624876</v>
      </c>
    </row>
    <row r="47" spans="1:8" ht="18">
      <c r="A47" s="28"/>
      <c r="B47" s="103" t="s">
        <v>152</v>
      </c>
      <c r="C47" s="19">
        <f t="shared" si="3"/>
        <v>1490000</v>
      </c>
      <c r="D47" s="19"/>
      <c r="E47" s="19">
        <f t="shared" si="2"/>
        <v>1490000</v>
      </c>
      <c r="F47" s="19">
        <v>1490000</v>
      </c>
      <c r="G47" s="83"/>
      <c r="H47" s="19"/>
    </row>
    <row r="48" spans="1:8" ht="18">
      <c r="A48" s="28"/>
      <c r="B48" s="103" t="s">
        <v>94</v>
      </c>
      <c r="C48" s="19">
        <f t="shared" si="3"/>
        <v>300000</v>
      </c>
      <c r="D48" s="19"/>
      <c r="E48" s="19">
        <f t="shared" si="2"/>
        <v>300000</v>
      </c>
      <c r="F48" s="19">
        <v>300000</v>
      </c>
      <c r="G48" s="83">
        <f>16200+122000+124757</f>
        <v>262957</v>
      </c>
      <c r="H48" s="19">
        <f>G48/C48*100</f>
        <v>87.65233333333333</v>
      </c>
    </row>
    <row r="49" spans="1:8" ht="18" hidden="1">
      <c r="A49" s="28"/>
      <c r="B49" s="103" t="s">
        <v>142</v>
      </c>
      <c r="C49" s="19">
        <f t="shared" si="3"/>
        <v>0</v>
      </c>
      <c r="D49" s="19"/>
      <c r="E49" s="19">
        <f t="shared" si="2"/>
        <v>0</v>
      </c>
      <c r="F49" s="19">
        <f>1490000-1490000</f>
        <v>0</v>
      </c>
      <c r="G49" s="83"/>
      <c r="H49" s="19" t="e">
        <f>G49/C49*100</f>
        <v>#DIV/0!</v>
      </c>
    </row>
    <row r="50" spans="1:8" ht="18">
      <c r="A50" s="28"/>
      <c r="B50" s="103" t="s">
        <v>168</v>
      </c>
      <c r="C50" s="19">
        <f t="shared" si="3"/>
        <v>340000</v>
      </c>
      <c r="D50" s="19"/>
      <c r="E50" s="19">
        <f t="shared" si="2"/>
        <v>340000</v>
      </c>
      <c r="F50" s="19">
        <f>340000</f>
        <v>340000</v>
      </c>
      <c r="G50" s="83"/>
      <c r="H50" s="109">
        <f>G50/C50*100</f>
        <v>0</v>
      </c>
    </row>
    <row r="51" spans="1:8" ht="18">
      <c r="A51" s="28"/>
      <c r="B51" s="103" t="s">
        <v>95</v>
      </c>
      <c r="C51" s="19">
        <f t="shared" si="3"/>
        <v>760000</v>
      </c>
      <c r="D51" s="19"/>
      <c r="E51" s="19">
        <f t="shared" si="2"/>
        <v>760000</v>
      </c>
      <c r="F51" s="19">
        <v>760000</v>
      </c>
      <c r="G51" s="83">
        <f>40000+356469</f>
        <v>396469</v>
      </c>
      <c r="H51" s="19">
        <f>G51/C51*100</f>
        <v>52.166973684210525</v>
      </c>
    </row>
    <row r="52" spans="1:8" ht="18">
      <c r="A52" s="28"/>
      <c r="B52" s="103" t="s">
        <v>96</v>
      </c>
      <c r="C52" s="19">
        <f t="shared" si="3"/>
        <v>3709</v>
      </c>
      <c r="D52" s="19"/>
      <c r="E52" s="19">
        <f t="shared" si="2"/>
        <v>3709</v>
      </c>
      <c r="F52" s="19">
        <v>3709</v>
      </c>
      <c r="G52" s="83">
        <f>3709</f>
        <v>3709</v>
      </c>
      <c r="H52" s="19">
        <f>G52/C52*100</f>
        <v>100</v>
      </c>
    </row>
    <row r="53" spans="1:8" ht="18">
      <c r="A53" s="28"/>
      <c r="B53" s="103" t="s">
        <v>97</v>
      </c>
      <c r="C53" s="19">
        <f t="shared" si="3"/>
        <v>550000</v>
      </c>
      <c r="D53" s="19"/>
      <c r="E53" s="19">
        <f t="shared" si="2"/>
        <v>550000</v>
      </c>
      <c r="F53" s="19">
        <v>550000</v>
      </c>
      <c r="G53" s="83">
        <f>20000+331000+189794</f>
        <v>540794</v>
      </c>
      <c r="H53" s="19">
        <f>G53/C53*100</f>
        <v>98.32618181818182</v>
      </c>
    </row>
    <row r="54" spans="1:8" ht="18">
      <c r="A54" s="28"/>
      <c r="B54" s="103" t="s">
        <v>98</v>
      </c>
      <c r="C54" s="19">
        <f t="shared" si="3"/>
        <v>1430000</v>
      </c>
      <c r="D54" s="19"/>
      <c r="E54" s="19">
        <f t="shared" si="2"/>
        <v>1430000</v>
      </c>
      <c r="F54" s="19">
        <v>1430000</v>
      </c>
      <c r="G54" s="83">
        <f>970000+298704.47+131022.59</f>
        <v>1399727.06</v>
      </c>
      <c r="H54" s="97">
        <f>G54/C54*100</f>
        <v>97.8830111888112</v>
      </c>
    </row>
    <row r="55" spans="1:8" ht="18">
      <c r="A55" s="28"/>
      <c r="B55" s="103" t="s">
        <v>99</v>
      </c>
      <c r="C55" s="19">
        <f t="shared" si="3"/>
        <v>244236.83</v>
      </c>
      <c r="D55" s="19"/>
      <c r="E55" s="19">
        <f t="shared" si="2"/>
        <v>244236.83</v>
      </c>
      <c r="F55" s="19">
        <f>240000+2416.83+1820</f>
        <v>244236.83</v>
      </c>
      <c r="G55" s="83">
        <f>244234.35</f>
        <v>244234.35</v>
      </c>
      <c r="H55" s="19">
        <f>G55/C55*100</f>
        <v>99.99898459212724</v>
      </c>
    </row>
    <row r="56" spans="1:8" s="31" customFormat="1" ht="18">
      <c r="A56" s="28"/>
      <c r="B56" s="103" t="s">
        <v>160</v>
      </c>
      <c r="C56" s="19">
        <f t="shared" si="3"/>
        <v>1000000</v>
      </c>
      <c r="D56" s="19"/>
      <c r="E56" s="19">
        <f>F56</f>
        <v>1000000</v>
      </c>
      <c r="F56" s="19">
        <f>1490000-490000</f>
        <v>1000000</v>
      </c>
      <c r="G56" s="57"/>
      <c r="H56" s="57"/>
    </row>
    <row r="57" spans="1:8" ht="18">
      <c r="A57" s="28"/>
      <c r="B57" s="103" t="s">
        <v>100</v>
      </c>
      <c r="C57" s="19">
        <f t="shared" si="3"/>
        <v>1293000</v>
      </c>
      <c r="D57" s="19"/>
      <c r="E57" s="19">
        <f t="shared" si="2"/>
        <v>1293000</v>
      </c>
      <c r="F57" s="19">
        <f>1450000-157000</f>
        <v>1293000</v>
      </c>
      <c r="G57" s="83">
        <f>77000+800000</f>
        <v>877000</v>
      </c>
      <c r="H57" s="19">
        <f>G57/C57*100</f>
        <v>67.82675947409126</v>
      </c>
    </row>
    <row r="58" spans="1:8" ht="36">
      <c r="A58" s="28"/>
      <c r="B58" s="103" t="s">
        <v>101</v>
      </c>
      <c r="C58" s="19">
        <f t="shared" si="3"/>
        <v>4300000</v>
      </c>
      <c r="D58" s="19"/>
      <c r="E58" s="19">
        <f t="shared" si="2"/>
        <v>4300000</v>
      </c>
      <c r="F58" s="19">
        <f>2500000+1800000</f>
        <v>4300000</v>
      </c>
      <c r="G58" s="83">
        <f>120000+106060</f>
        <v>226060</v>
      </c>
      <c r="H58" s="97">
        <f>G58/C58*100</f>
        <v>5.257209302325581</v>
      </c>
    </row>
    <row r="59" spans="1:8" ht="36">
      <c r="A59" s="28"/>
      <c r="B59" s="103" t="s">
        <v>102</v>
      </c>
      <c r="C59" s="19">
        <f t="shared" si="3"/>
        <v>134745</v>
      </c>
      <c r="D59" s="19"/>
      <c r="E59" s="19">
        <f t="shared" si="2"/>
        <v>134745</v>
      </c>
      <c r="F59" s="19">
        <v>134745</v>
      </c>
      <c r="G59" s="83"/>
      <c r="H59" s="109">
        <f>G59/C59*100</f>
        <v>0</v>
      </c>
    </row>
    <row r="60" spans="1:8" ht="18">
      <c r="A60" s="28"/>
      <c r="B60" s="103" t="s">
        <v>169</v>
      </c>
      <c r="C60" s="19">
        <f t="shared" si="3"/>
        <v>350000</v>
      </c>
      <c r="D60" s="19"/>
      <c r="E60" s="19">
        <f t="shared" si="2"/>
        <v>350000</v>
      </c>
      <c r="F60" s="19">
        <f>350000</f>
        <v>350000</v>
      </c>
      <c r="G60" s="83"/>
      <c r="H60" s="109"/>
    </row>
    <row r="61" spans="1:8" ht="18">
      <c r="A61" s="28"/>
      <c r="B61" s="103" t="s">
        <v>133</v>
      </c>
      <c r="C61" s="19">
        <f>E61</f>
        <v>644243.13</v>
      </c>
      <c r="D61" s="19"/>
      <c r="E61" s="19">
        <f>F61</f>
        <v>644243.13</v>
      </c>
      <c r="F61" s="19">
        <v>644243.13</v>
      </c>
      <c r="G61" s="83">
        <v>577020</v>
      </c>
      <c r="H61" s="97">
        <f>G61/C61*100</f>
        <v>89.56556509962319</v>
      </c>
    </row>
    <row r="62" spans="1:8" ht="18">
      <c r="A62" s="28"/>
      <c r="B62" s="103" t="s">
        <v>134</v>
      </c>
      <c r="C62" s="19">
        <f>E62</f>
        <v>2235645.64</v>
      </c>
      <c r="D62" s="19"/>
      <c r="E62" s="19">
        <f>F62</f>
        <v>2235645.64</v>
      </c>
      <c r="F62" s="19">
        <v>2235645.64</v>
      </c>
      <c r="G62" s="83">
        <f>786625+861005.59</f>
        <v>1647630.5899999999</v>
      </c>
      <c r="H62" s="97">
        <f>G62/C62*100</f>
        <v>73.69819977373515</v>
      </c>
    </row>
    <row r="63" spans="1:8" ht="18">
      <c r="A63" s="28"/>
      <c r="B63" s="103" t="s">
        <v>135</v>
      </c>
      <c r="C63" s="19">
        <f>E63</f>
        <v>5564354.36</v>
      </c>
      <c r="D63" s="19"/>
      <c r="E63" s="19">
        <f>F63</f>
        <v>5564354.36</v>
      </c>
      <c r="F63" s="19">
        <f>1564354.36+4000000</f>
        <v>5564354.36</v>
      </c>
      <c r="G63" s="83">
        <f>665442.31</f>
        <v>665442.31</v>
      </c>
      <c r="H63" s="97">
        <f>G63/C63*100</f>
        <v>11.959021064215616</v>
      </c>
    </row>
    <row r="64" spans="1:8" ht="18">
      <c r="A64" s="28"/>
      <c r="B64" s="103" t="s">
        <v>136</v>
      </c>
      <c r="C64" s="97">
        <f>E64</f>
        <v>564477</v>
      </c>
      <c r="D64" s="19"/>
      <c r="E64" s="19">
        <f>F64</f>
        <v>564477</v>
      </c>
      <c r="F64" s="19">
        <f>390000+174477</f>
        <v>564477</v>
      </c>
      <c r="G64" s="83">
        <f>45000+341269.74+171614.34</f>
        <v>557884.08</v>
      </c>
      <c r="H64" s="97">
        <f>G64/C64*100</f>
        <v>98.83203035730419</v>
      </c>
    </row>
    <row r="65" spans="1:8" ht="18">
      <c r="A65" s="28"/>
      <c r="B65" s="103" t="s">
        <v>103</v>
      </c>
      <c r="C65" s="19">
        <f t="shared" si="3"/>
        <v>1469421</v>
      </c>
      <c r="D65" s="19"/>
      <c r="E65" s="19">
        <f t="shared" si="2"/>
        <v>1469421</v>
      </c>
      <c r="F65" s="19">
        <f>1000000+469421</f>
        <v>1469421</v>
      </c>
      <c r="G65" s="83">
        <f>88000+602646.39+309280.56+461136.12</f>
        <v>1461063.0699999998</v>
      </c>
      <c r="H65" s="110">
        <f>G65/C65*100</f>
        <v>99.43120929944514</v>
      </c>
    </row>
    <row r="66" spans="1:8" ht="18">
      <c r="A66" s="28"/>
      <c r="B66" s="103" t="s">
        <v>104</v>
      </c>
      <c r="C66" s="19">
        <f t="shared" si="3"/>
        <v>768000</v>
      </c>
      <c r="D66" s="19"/>
      <c r="E66" s="19">
        <f t="shared" si="2"/>
        <v>768000</v>
      </c>
      <c r="F66" s="19">
        <f>800000-32000</f>
        <v>768000</v>
      </c>
      <c r="G66" s="83">
        <f>48000+363000</f>
        <v>411000</v>
      </c>
      <c r="H66" s="19">
        <f>G66/C66*100</f>
        <v>53.515625</v>
      </c>
    </row>
    <row r="67" spans="1:8" ht="18">
      <c r="A67" s="28"/>
      <c r="B67" s="103" t="s">
        <v>105</v>
      </c>
      <c r="C67" s="19">
        <f t="shared" si="3"/>
        <v>632000</v>
      </c>
      <c r="D67" s="19"/>
      <c r="E67" s="19">
        <f t="shared" si="2"/>
        <v>632000</v>
      </c>
      <c r="F67" s="19">
        <f>600000+32000</f>
        <v>632000</v>
      </c>
      <c r="G67" s="83">
        <f>42000+300000+245583.2</f>
        <v>587583.2</v>
      </c>
      <c r="H67" s="19">
        <f>G67/C67*100</f>
        <v>92.97202531645569</v>
      </c>
    </row>
    <row r="68" spans="1:8" ht="18">
      <c r="A68" s="28"/>
      <c r="B68" s="103" t="s">
        <v>106</v>
      </c>
      <c r="C68" s="19">
        <f>E68</f>
        <v>1282000</v>
      </c>
      <c r="D68" s="19"/>
      <c r="E68" s="19">
        <f>F68</f>
        <v>1282000</v>
      </c>
      <c r="F68" s="19">
        <f>1000000+282000</f>
        <v>1282000</v>
      </c>
      <c r="G68" s="83">
        <f>60000+745000</f>
        <v>805000</v>
      </c>
      <c r="H68" s="19">
        <f>G68/C68*100</f>
        <v>62.792511700468026</v>
      </c>
    </row>
    <row r="69" spans="1:8" ht="18">
      <c r="A69" s="28"/>
      <c r="B69" s="103" t="s">
        <v>107</v>
      </c>
      <c r="C69" s="19">
        <f>E69</f>
        <v>700000</v>
      </c>
      <c r="D69" s="19"/>
      <c r="E69" s="19">
        <f>F69</f>
        <v>700000</v>
      </c>
      <c r="F69" s="19">
        <v>700000</v>
      </c>
      <c r="G69" s="83">
        <f>60000</f>
        <v>60000</v>
      </c>
      <c r="H69" s="19">
        <f>G69/C69*100</f>
        <v>8.571428571428571</v>
      </c>
    </row>
    <row r="70" spans="1:8" ht="18">
      <c r="A70" s="28"/>
      <c r="B70" s="103" t="s">
        <v>108</v>
      </c>
      <c r="C70" s="19">
        <f>E70</f>
        <v>85943</v>
      </c>
      <c r="D70" s="19"/>
      <c r="E70" s="19">
        <f>F70</f>
        <v>85943</v>
      </c>
      <c r="F70" s="19">
        <f>29943+56000</f>
        <v>85943</v>
      </c>
      <c r="G70" s="83">
        <f>29530.54+378.63</f>
        <v>29909.170000000002</v>
      </c>
      <c r="H70" s="19">
        <f>G70/C70*100</f>
        <v>34.80117054326705</v>
      </c>
    </row>
    <row r="71" spans="1:8" ht="18">
      <c r="A71" s="28"/>
      <c r="B71" s="103" t="s">
        <v>109</v>
      </c>
      <c r="C71" s="19">
        <f t="shared" si="3"/>
        <v>2800000</v>
      </c>
      <c r="D71" s="19"/>
      <c r="E71" s="19">
        <f t="shared" si="2"/>
        <v>2800000</v>
      </c>
      <c r="F71" s="19">
        <f>3000000-200000</f>
        <v>2800000</v>
      </c>
      <c r="G71" s="83">
        <f>1761451.15+696863.29</f>
        <v>2458314.44</v>
      </c>
      <c r="H71" s="110">
        <f>G71/C71*100</f>
        <v>87.79694428571429</v>
      </c>
    </row>
    <row r="72" spans="1:8" ht="18">
      <c r="A72" s="28"/>
      <c r="B72" s="103" t="s">
        <v>110</v>
      </c>
      <c r="C72" s="19">
        <f t="shared" si="3"/>
        <v>120000</v>
      </c>
      <c r="D72" s="19"/>
      <c r="E72" s="19">
        <f t="shared" si="2"/>
        <v>120000</v>
      </c>
      <c r="F72" s="19">
        <f>1400000-1280000</f>
        <v>120000</v>
      </c>
      <c r="G72" s="83">
        <f>70000+42060</f>
        <v>112060</v>
      </c>
      <c r="H72" s="19">
        <f>G72/C72*100</f>
        <v>93.38333333333333</v>
      </c>
    </row>
    <row r="73" spans="1:8" ht="18">
      <c r="A73" s="15"/>
      <c r="B73" s="103" t="s">
        <v>111</v>
      </c>
      <c r="C73" s="19">
        <f t="shared" si="3"/>
        <v>1400000</v>
      </c>
      <c r="D73" s="19"/>
      <c r="E73" s="19">
        <f t="shared" si="2"/>
        <v>1400000</v>
      </c>
      <c r="F73" s="19">
        <v>1400000</v>
      </c>
      <c r="G73" s="83">
        <f>43000+678534.45+628008.58+16900</f>
        <v>1366443.0299999998</v>
      </c>
      <c r="H73" s="111">
        <f>G73/C73*100</f>
        <v>97.60307357142855</v>
      </c>
    </row>
    <row r="74" spans="1:8" ht="18">
      <c r="A74" s="143" t="s">
        <v>70</v>
      </c>
      <c r="B74" s="144"/>
      <c r="C74" s="144"/>
      <c r="D74" s="144"/>
      <c r="E74" s="144"/>
      <c r="F74" s="145"/>
      <c r="G74" s="15"/>
      <c r="H74" s="19"/>
    </row>
    <row r="75" spans="1:8" ht="18">
      <c r="A75" s="7">
        <v>2</v>
      </c>
      <c r="B75" s="9" t="s">
        <v>20</v>
      </c>
      <c r="C75" s="10">
        <f>D75+E75</f>
        <v>215814340.86</v>
      </c>
      <c r="D75" s="85"/>
      <c r="E75" s="10">
        <f>SUM(E76:E110)</f>
        <v>215814340.86</v>
      </c>
      <c r="F75" s="10">
        <f>SUM(F76:F110)</f>
        <v>215814340.86</v>
      </c>
      <c r="G75" s="10">
        <f>SUM(G76:G110)</f>
        <v>117750629.32000001</v>
      </c>
      <c r="H75" s="10">
        <f>G75/C75*100</f>
        <v>54.56107729021841</v>
      </c>
    </row>
    <row r="76" spans="1:8" ht="18">
      <c r="A76" s="86"/>
      <c r="B76" s="103" t="s">
        <v>112</v>
      </c>
      <c r="C76" s="97">
        <f>E76</f>
        <v>1520000</v>
      </c>
      <c r="D76" s="19"/>
      <c r="E76" s="19">
        <f>F76</f>
        <v>1520000</v>
      </c>
      <c r="F76" s="19">
        <f>1000000+520000</f>
        <v>1520000</v>
      </c>
      <c r="G76" s="84">
        <f>14594+66496+600000</f>
        <v>681090</v>
      </c>
      <c r="H76" s="19">
        <f>G76/C76*100</f>
        <v>44.80855263157895</v>
      </c>
    </row>
    <row r="77" spans="1:8" ht="18">
      <c r="A77" s="86"/>
      <c r="B77" s="103" t="s">
        <v>113</v>
      </c>
      <c r="C77" s="97">
        <f>E77</f>
        <v>1630000</v>
      </c>
      <c r="D77" s="19"/>
      <c r="E77" s="19">
        <f>F77</f>
        <v>1630000</v>
      </c>
      <c r="F77" s="19">
        <f>2000000-370000</f>
        <v>1630000</v>
      </c>
      <c r="G77" s="84">
        <f>15136+68629+700000+2307</f>
        <v>786072</v>
      </c>
      <c r="H77" s="19">
        <f>G77/C77*100</f>
        <v>48.22527607361963</v>
      </c>
    </row>
    <row r="78" spans="1:8" ht="18">
      <c r="A78" s="86"/>
      <c r="B78" s="103" t="s">
        <v>114</v>
      </c>
      <c r="C78" s="97">
        <f>E78</f>
        <v>2000000</v>
      </c>
      <c r="D78" s="19"/>
      <c r="E78" s="19">
        <f>F78</f>
        <v>2000000</v>
      </c>
      <c r="F78" s="19">
        <v>2000000</v>
      </c>
      <c r="G78" s="84">
        <f>17613+92317.4+930000</f>
        <v>1039930.4</v>
      </c>
      <c r="H78" s="19">
        <f>G78/C78*100</f>
        <v>51.996520000000004</v>
      </c>
    </row>
    <row r="79" spans="1:8" ht="36">
      <c r="A79" s="86"/>
      <c r="B79" s="93" t="s">
        <v>78</v>
      </c>
      <c r="C79" s="97">
        <f>D79+E79</f>
        <v>299500</v>
      </c>
      <c r="D79" s="23"/>
      <c r="E79" s="83">
        <f>F79</f>
        <v>299500</v>
      </c>
      <c r="F79" s="83">
        <v>299500</v>
      </c>
      <c r="G79" s="84">
        <f>13163+18559+246327.6+2842.11</f>
        <v>280891.70999999996</v>
      </c>
      <c r="H79" s="19">
        <f>G79/C79*100</f>
        <v>93.78688146911517</v>
      </c>
    </row>
    <row r="80" spans="1:8" ht="18">
      <c r="A80" s="86"/>
      <c r="B80" s="103" t="s">
        <v>115</v>
      </c>
      <c r="C80" s="97">
        <f aca="true" t="shared" si="4" ref="C80:C110">E80</f>
        <v>1703200</v>
      </c>
      <c r="D80" s="19"/>
      <c r="E80" s="19">
        <f aca="true" t="shared" si="5" ref="E80:E110">F80</f>
        <v>1703200</v>
      </c>
      <c r="F80" s="19">
        <v>1703200</v>
      </c>
      <c r="G80" s="84">
        <f>358906.8+4423.32+206888.42+35300+520960.8+6298.39+390000</f>
        <v>1522777.73</v>
      </c>
      <c r="H80" s="19">
        <f>G80/C80*100</f>
        <v>89.40686531235322</v>
      </c>
    </row>
    <row r="81" spans="1:8" ht="18">
      <c r="A81" s="86"/>
      <c r="B81" s="103" t="s">
        <v>139</v>
      </c>
      <c r="C81" s="97">
        <f>E81</f>
        <v>9000000</v>
      </c>
      <c r="D81" s="19"/>
      <c r="E81" s="19">
        <f>F81</f>
        <v>9000000</v>
      </c>
      <c r="F81" s="19">
        <f>4000000+5000000</f>
        <v>9000000</v>
      </c>
      <c r="G81" s="84">
        <f>250000+160523+3100000+320000-1009.05+177000</f>
        <v>4006513.95</v>
      </c>
      <c r="H81" s="19">
        <f>G81/C81*100</f>
        <v>44.516821666666665</v>
      </c>
    </row>
    <row r="82" spans="1:8" ht="18">
      <c r="A82" s="86"/>
      <c r="B82" s="103" t="s">
        <v>137</v>
      </c>
      <c r="C82" s="97">
        <f t="shared" si="4"/>
        <v>1000000</v>
      </c>
      <c r="D82" s="19"/>
      <c r="E82" s="19">
        <f t="shared" si="5"/>
        <v>1000000</v>
      </c>
      <c r="F82" s="19">
        <v>1000000</v>
      </c>
      <c r="G82" s="84">
        <f>21199+70270</f>
        <v>91469</v>
      </c>
      <c r="H82" s="111">
        <f>G82/C82*100</f>
        <v>9.146899999999999</v>
      </c>
    </row>
    <row r="83" spans="1:8" ht="18">
      <c r="A83" s="86"/>
      <c r="B83" s="103" t="s">
        <v>116</v>
      </c>
      <c r="C83" s="97">
        <f t="shared" si="4"/>
        <v>15960000</v>
      </c>
      <c r="D83" s="19"/>
      <c r="E83" s="19">
        <f t="shared" si="5"/>
        <v>15960000</v>
      </c>
      <c r="F83" s="19">
        <f>20000000-4000000-40000</f>
        <v>15960000</v>
      </c>
      <c r="G83" s="84">
        <f>5000000+2023964+15336.5+1460849+11207.01+3387.24+3000000+6692.71+22884.51</f>
        <v>11544320.97</v>
      </c>
      <c r="H83" s="97">
        <f>G83/C83*100</f>
        <v>72.33283815789474</v>
      </c>
    </row>
    <row r="84" spans="1:8" ht="18">
      <c r="A84" s="86"/>
      <c r="B84" s="103" t="s">
        <v>117</v>
      </c>
      <c r="C84" s="97">
        <f>E84</f>
        <v>30000000</v>
      </c>
      <c r="D84" s="19"/>
      <c r="E84" s="19">
        <f t="shared" si="5"/>
        <v>30000000</v>
      </c>
      <c r="F84" s="19">
        <v>30000000</v>
      </c>
      <c r="G84" s="84">
        <f>847001.35+9472398.19+9793501.2+18255+3386564.4+5250628.8</f>
        <v>28768348.939999998</v>
      </c>
      <c r="H84" s="97">
        <f>G84/C84*100</f>
        <v>95.89449646666665</v>
      </c>
    </row>
    <row r="85" spans="1:8" ht="18">
      <c r="A85" s="86"/>
      <c r="B85" s="103" t="s">
        <v>146</v>
      </c>
      <c r="C85" s="97">
        <f t="shared" si="4"/>
        <v>9000</v>
      </c>
      <c r="D85" s="19"/>
      <c r="E85" s="19">
        <f t="shared" si="5"/>
        <v>9000</v>
      </c>
      <c r="F85" s="19">
        <v>9000</v>
      </c>
      <c r="G85" s="84">
        <f>8836.6</f>
        <v>8836.6</v>
      </c>
      <c r="H85" s="97">
        <f>G85/C85*100</f>
        <v>98.18444444444445</v>
      </c>
    </row>
    <row r="86" spans="1:8" ht="18">
      <c r="A86" s="86"/>
      <c r="B86" s="103" t="s">
        <v>118</v>
      </c>
      <c r="C86" s="97">
        <f t="shared" si="4"/>
        <v>2440000</v>
      </c>
      <c r="D86" s="19"/>
      <c r="E86" s="19">
        <f t="shared" si="5"/>
        <v>2440000</v>
      </c>
      <c r="F86" s="19">
        <f>2000000-500000+2000000-1060000</f>
        <v>2440000</v>
      </c>
      <c r="G86" s="84">
        <f>31471+136200.4+1050000</f>
        <v>1217671.4</v>
      </c>
      <c r="H86" s="19">
        <f>G86/C86*100</f>
        <v>49.90456557377049</v>
      </c>
    </row>
    <row r="87" spans="1:8" ht="15.75" customHeight="1">
      <c r="A87" s="86"/>
      <c r="B87" s="103" t="s">
        <v>149</v>
      </c>
      <c r="C87" s="97">
        <f t="shared" si="4"/>
        <v>40481000</v>
      </c>
      <c r="D87" s="19"/>
      <c r="E87" s="19">
        <f t="shared" si="5"/>
        <v>40481000</v>
      </c>
      <c r="F87" s="19">
        <f>40000000-5000000-1000000-531000-2988000+10000000</f>
        <v>40481000</v>
      </c>
      <c r="G87" s="84">
        <f>470717.95+3000000-66.65+25024.44+25587.35+3000000-86.46+7172154.08+2100000</f>
        <v>15793330.71</v>
      </c>
      <c r="H87" s="19">
        <f>G87/C87*100</f>
        <v>39.01418124552259</v>
      </c>
    </row>
    <row r="88" spans="1:8" s="31" customFormat="1" ht="18">
      <c r="A88" s="28"/>
      <c r="B88" s="103" t="s">
        <v>156</v>
      </c>
      <c r="C88" s="19">
        <f t="shared" si="4"/>
        <v>50000</v>
      </c>
      <c r="D88" s="19"/>
      <c r="E88" s="19">
        <f>F88</f>
        <v>50000</v>
      </c>
      <c r="F88" s="19">
        <v>50000</v>
      </c>
      <c r="G88" s="57"/>
      <c r="H88" s="57"/>
    </row>
    <row r="89" spans="1:8" s="107" customFormat="1" ht="18">
      <c r="A89" s="104"/>
      <c r="B89" s="105" t="s">
        <v>119</v>
      </c>
      <c r="C89" s="97">
        <f t="shared" si="4"/>
        <v>1296950</v>
      </c>
      <c r="D89" s="97"/>
      <c r="E89" s="97">
        <f t="shared" si="5"/>
        <v>1296950</v>
      </c>
      <c r="F89" s="97">
        <f>700000+596950</f>
        <v>1296950</v>
      </c>
      <c r="G89" s="106">
        <f>13651+63438+696072</f>
        <v>773161</v>
      </c>
      <c r="H89" s="110">
        <f>G89/C89*100</f>
        <v>59.613786190678134</v>
      </c>
    </row>
    <row r="90" spans="1:8" ht="18">
      <c r="A90" s="86"/>
      <c r="B90" s="103" t="s">
        <v>120</v>
      </c>
      <c r="C90" s="97">
        <f t="shared" si="4"/>
        <v>600000</v>
      </c>
      <c r="D90" s="19"/>
      <c r="E90" s="19">
        <f t="shared" si="5"/>
        <v>600000</v>
      </c>
      <c r="F90" s="19">
        <v>600000</v>
      </c>
      <c r="G90" s="84">
        <f>12968</f>
        <v>12968</v>
      </c>
      <c r="H90" s="19">
        <f>G90/C90*100</f>
        <v>2.1613333333333333</v>
      </c>
    </row>
    <row r="91" spans="1:8" ht="24" customHeight="1">
      <c r="A91" s="86"/>
      <c r="B91" s="103" t="s">
        <v>121</v>
      </c>
      <c r="C91" s="97">
        <f t="shared" si="4"/>
        <v>100000</v>
      </c>
      <c r="D91" s="19"/>
      <c r="E91" s="19">
        <f t="shared" si="5"/>
        <v>100000</v>
      </c>
      <c r="F91" s="19">
        <f>500000-400000</f>
        <v>100000</v>
      </c>
      <c r="G91" s="84"/>
      <c r="H91" s="108">
        <f>G91/C91*100</f>
        <v>0</v>
      </c>
    </row>
    <row r="92" spans="1:8" ht="24" customHeight="1">
      <c r="A92" s="86"/>
      <c r="B92" s="103" t="s">
        <v>130</v>
      </c>
      <c r="C92" s="97">
        <f t="shared" si="4"/>
        <v>1241860</v>
      </c>
      <c r="D92" s="19"/>
      <c r="E92" s="19">
        <f t="shared" si="5"/>
        <v>1241860</v>
      </c>
      <c r="F92" s="19">
        <v>1241860</v>
      </c>
      <c r="G92" s="84"/>
      <c r="H92" s="108">
        <f>G92/C92*100</f>
        <v>0</v>
      </c>
    </row>
    <row r="93" spans="1:8" ht="24" customHeight="1">
      <c r="A93" s="86"/>
      <c r="B93" s="103" t="s">
        <v>131</v>
      </c>
      <c r="C93" s="97">
        <f t="shared" si="4"/>
        <v>1719770</v>
      </c>
      <c r="D93" s="19"/>
      <c r="E93" s="19">
        <f t="shared" si="5"/>
        <v>1719770</v>
      </c>
      <c r="F93" s="19">
        <f>3753010-703240-30000-1000000-300000</f>
        <v>1719770</v>
      </c>
      <c r="G93" s="84"/>
      <c r="H93" s="108">
        <f>G93/C93*100</f>
        <v>0</v>
      </c>
    </row>
    <row r="94" spans="1:8" ht="18">
      <c r="A94" s="86"/>
      <c r="B94" s="103" t="s">
        <v>122</v>
      </c>
      <c r="C94" s="19">
        <f t="shared" si="4"/>
        <v>15323020</v>
      </c>
      <c r="D94" s="19"/>
      <c r="E94" s="19">
        <f t="shared" si="5"/>
        <v>15323020</v>
      </c>
      <c r="F94" s="19">
        <f>21323020-6000000</f>
        <v>15323020</v>
      </c>
      <c r="G94" s="84">
        <f>2217023.25+4000000+51621.46+3000000+39435.85-350.41+1284536.7+992746.8-2277283.5</f>
        <v>9307730.15</v>
      </c>
      <c r="H94" s="111">
        <f>G94/C94*100</f>
        <v>60.743444503759704</v>
      </c>
    </row>
    <row r="95" spans="1:8" ht="18">
      <c r="A95" s="86"/>
      <c r="B95" s="103" t="s">
        <v>123</v>
      </c>
      <c r="C95" s="19">
        <f t="shared" si="4"/>
        <v>265304</v>
      </c>
      <c r="D95" s="19"/>
      <c r="E95" s="19">
        <f t="shared" si="5"/>
        <v>265304</v>
      </c>
      <c r="F95" s="19">
        <f>10000000-7734696-2000000</f>
        <v>265304</v>
      </c>
      <c r="G95" s="84">
        <f>265304</f>
        <v>265304</v>
      </c>
      <c r="H95" s="110">
        <f>G95/C95*100</f>
        <v>100</v>
      </c>
    </row>
    <row r="96" spans="1:8" ht="18">
      <c r="A96" s="86"/>
      <c r="B96" s="103" t="s">
        <v>124</v>
      </c>
      <c r="C96" s="19">
        <f t="shared" si="4"/>
        <v>950000</v>
      </c>
      <c r="D96" s="19"/>
      <c r="E96" s="19">
        <f t="shared" si="5"/>
        <v>950000</v>
      </c>
      <c r="F96" s="19">
        <v>950000</v>
      </c>
      <c r="G96" s="84">
        <f>58555+600000</f>
        <v>658555</v>
      </c>
      <c r="H96" s="19">
        <f>G96/C96*100</f>
        <v>69.32157894736842</v>
      </c>
    </row>
    <row r="97" spans="1:8" ht="18">
      <c r="A97" s="86"/>
      <c r="B97" s="103" t="s">
        <v>170</v>
      </c>
      <c r="C97" s="19">
        <f t="shared" si="4"/>
        <v>28800000</v>
      </c>
      <c r="D97" s="19"/>
      <c r="E97" s="19">
        <f t="shared" si="5"/>
        <v>28800000</v>
      </c>
      <c r="F97" s="19">
        <f>37000000-400000-1200000-600000-6000000</f>
        <v>28800000</v>
      </c>
      <c r="G97" s="84">
        <f>3000000+2000000+1000000+7000000</f>
        <v>13000000</v>
      </c>
      <c r="H97" s="19">
        <f>G97/C97*100</f>
        <v>45.13888888888889</v>
      </c>
    </row>
    <row r="98" spans="1:8" s="31" customFormat="1" ht="18">
      <c r="A98" s="28"/>
      <c r="B98" s="103" t="s">
        <v>155</v>
      </c>
      <c r="C98" s="19">
        <f t="shared" si="4"/>
        <v>200000</v>
      </c>
      <c r="D98" s="19"/>
      <c r="E98" s="19">
        <f aca="true" t="shared" si="6" ref="E98:E103">F98</f>
        <v>200000</v>
      </c>
      <c r="F98" s="19">
        <f>200000</f>
        <v>200000</v>
      </c>
      <c r="G98" s="57"/>
      <c r="H98" s="57"/>
    </row>
    <row r="99" spans="1:8" s="31" customFormat="1" ht="18">
      <c r="A99" s="28"/>
      <c r="B99" s="103" t="s">
        <v>158</v>
      </c>
      <c r="C99" s="19">
        <f t="shared" si="4"/>
        <v>250000</v>
      </c>
      <c r="D99" s="19"/>
      <c r="E99" s="19">
        <f t="shared" si="6"/>
        <v>250000</v>
      </c>
      <c r="F99" s="19">
        <v>250000</v>
      </c>
      <c r="G99" s="57"/>
      <c r="H99" s="57"/>
    </row>
    <row r="100" spans="1:8" s="31" customFormat="1" ht="18">
      <c r="A100" s="28"/>
      <c r="B100" s="103" t="s">
        <v>154</v>
      </c>
      <c r="C100" s="19">
        <f>E100</f>
        <v>904105</v>
      </c>
      <c r="D100" s="19"/>
      <c r="E100" s="19">
        <f t="shared" si="6"/>
        <v>904105</v>
      </c>
      <c r="F100" s="19">
        <f>3224105-2000000-320000</f>
        <v>904105</v>
      </c>
      <c r="G100" s="57"/>
      <c r="H100" s="57"/>
    </row>
    <row r="101" spans="1:8" s="31" customFormat="1" ht="18">
      <c r="A101" s="28"/>
      <c r="B101" s="103" t="s">
        <v>157</v>
      </c>
      <c r="C101" s="19">
        <f>E101</f>
        <v>450000</v>
      </c>
      <c r="D101" s="19"/>
      <c r="E101" s="19">
        <f t="shared" si="6"/>
        <v>450000</v>
      </c>
      <c r="F101" s="19">
        <f>250000+200000</f>
        <v>450000</v>
      </c>
      <c r="G101" s="57"/>
      <c r="H101" s="57"/>
    </row>
    <row r="102" spans="1:8" s="31" customFormat="1" ht="18">
      <c r="A102" s="28"/>
      <c r="B102" s="103" t="s">
        <v>171</v>
      </c>
      <c r="C102" s="19">
        <f>E102</f>
        <v>120000</v>
      </c>
      <c r="D102" s="19"/>
      <c r="E102" s="19">
        <f t="shared" si="6"/>
        <v>120000</v>
      </c>
      <c r="F102" s="19">
        <v>120000</v>
      </c>
      <c r="G102" s="57"/>
      <c r="H102" s="57"/>
    </row>
    <row r="103" spans="1:8" s="31" customFormat="1" ht="18">
      <c r="A103" s="28"/>
      <c r="B103" s="103" t="s">
        <v>159</v>
      </c>
      <c r="C103" s="19">
        <f>E103</f>
        <v>200000</v>
      </c>
      <c r="D103" s="19"/>
      <c r="E103" s="19">
        <f t="shared" si="6"/>
        <v>200000</v>
      </c>
      <c r="F103" s="19">
        <v>200000</v>
      </c>
      <c r="G103" s="57"/>
      <c r="H103" s="57"/>
    </row>
    <row r="104" spans="1:8" ht="18">
      <c r="A104" s="86"/>
      <c r="B104" s="103" t="s">
        <v>125</v>
      </c>
      <c r="C104" s="19">
        <f t="shared" si="4"/>
        <v>18000000</v>
      </c>
      <c r="D104" s="19"/>
      <c r="E104" s="19">
        <f t="shared" si="5"/>
        <v>18000000</v>
      </c>
      <c r="F104" s="19">
        <v>18000000</v>
      </c>
      <c r="G104" s="84">
        <f>983986+8400000</f>
        <v>9383986</v>
      </c>
      <c r="H104" s="19">
        <f>G104/C104*100</f>
        <v>52.13325555555556</v>
      </c>
    </row>
    <row r="105" spans="1:8" ht="18">
      <c r="A105" s="86"/>
      <c r="B105" s="103" t="s">
        <v>126</v>
      </c>
      <c r="C105" s="19">
        <f t="shared" si="4"/>
        <v>620000</v>
      </c>
      <c r="D105" s="19"/>
      <c r="E105" s="19">
        <f t="shared" si="5"/>
        <v>620000</v>
      </c>
      <c r="F105" s="19">
        <f>2000000-1380000</f>
        <v>620000</v>
      </c>
      <c r="G105" s="84">
        <f>17148</f>
        <v>17148</v>
      </c>
      <c r="H105" s="110">
        <f>G105/C105*100</f>
        <v>2.765806451612903</v>
      </c>
    </row>
    <row r="106" spans="1:8" ht="21.75" customHeight="1">
      <c r="A106" s="86"/>
      <c r="B106" s="103" t="s">
        <v>132</v>
      </c>
      <c r="C106" s="19">
        <f t="shared" si="4"/>
        <v>499840</v>
      </c>
      <c r="D106" s="19"/>
      <c r="E106" s="19">
        <f t="shared" si="5"/>
        <v>499840</v>
      </c>
      <c r="F106" s="19">
        <f>703240-203400</f>
        <v>499840</v>
      </c>
      <c r="G106" s="84">
        <f>380144.4</f>
        <v>380144.4</v>
      </c>
      <c r="H106" s="19">
        <f>G106/C106*100</f>
        <v>76.05321702944943</v>
      </c>
    </row>
    <row r="107" spans="1:8" ht="36">
      <c r="A107" s="86"/>
      <c r="B107" s="103" t="s">
        <v>127</v>
      </c>
      <c r="C107" s="19">
        <f t="shared" si="4"/>
        <v>7002780</v>
      </c>
      <c r="D107" s="19"/>
      <c r="E107" s="19">
        <f t="shared" si="5"/>
        <v>7002780</v>
      </c>
      <c r="F107" s="19">
        <f>9002780-8000000+6000000</f>
        <v>7002780</v>
      </c>
      <c r="G107" s="84">
        <f>430403.87</f>
        <v>430403.87</v>
      </c>
      <c r="H107" s="19">
        <f>G107/C107*100</f>
        <v>6.146185800496374</v>
      </c>
    </row>
    <row r="108" spans="1:8" ht="36">
      <c r="A108" s="86"/>
      <c r="B108" s="103" t="s">
        <v>138</v>
      </c>
      <c r="C108" s="19">
        <f t="shared" si="4"/>
        <v>9000000</v>
      </c>
      <c r="D108" s="19"/>
      <c r="E108" s="19">
        <f t="shared" si="5"/>
        <v>9000000</v>
      </c>
      <c r="F108" s="19">
        <f>4000000+5000000</f>
        <v>9000000</v>
      </c>
      <c r="G108" s="84">
        <f>1900000+106279.32</f>
        <v>2006279.32</v>
      </c>
      <c r="H108" s="19">
        <f>G108/C108*100</f>
        <v>22.291992444444446</v>
      </c>
    </row>
    <row r="109" spans="1:8" ht="36">
      <c r="A109" s="86"/>
      <c r="B109" s="103" t="s">
        <v>128</v>
      </c>
      <c r="C109" s="19">
        <f t="shared" si="4"/>
        <v>21662531.86</v>
      </c>
      <c r="D109" s="19"/>
      <c r="E109" s="19">
        <f t="shared" si="5"/>
        <v>21662531.86</v>
      </c>
      <c r="F109" s="19">
        <f>22317920-655388.14</f>
        <v>21662531.86</v>
      </c>
      <c r="G109" s="84">
        <f>1531485.6+2456653.03+7153.97+2654707.4+12897.03+4489375.2+2821718.54+1737332.4</f>
        <v>15711323.17</v>
      </c>
      <c r="H109" s="19">
        <f>G109/C109*100</f>
        <v>72.52764022016768</v>
      </c>
    </row>
    <row r="110" spans="1:8" ht="18">
      <c r="A110" s="86"/>
      <c r="B110" s="103" t="s">
        <v>129</v>
      </c>
      <c r="C110" s="19">
        <f t="shared" si="4"/>
        <v>515480</v>
      </c>
      <c r="D110" s="19"/>
      <c r="E110" s="19">
        <f t="shared" si="5"/>
        <v>515480</v>
      </c>
      <c r="F110" s="19">
        <f>1000000-484520</f>
        <v>515480</v>
      </c>
      <c r="G110" s="84">
        <f>62373</f>
        <v>62373</v>
      </c>
      <c r="H110" s="19">
        <f>G110/C110*100</f>
        <v>12.09998448048421</v>
      </c>
    </row>
    <row r="111" spans="1:8" ht="17.25">
      <c r="A111" s="24"/>
      <c r="B111" s="25" t="s">
        <v>28</v>
      </c>
      <c r="C111" s="10">
        <f>C11+C75</f>
        <v>430912848.09000003</v>
      </c>
      <c r="D111" s="10">
        <f>D11+D75</f>
        <v>172325313.77</v>
      </c>
      <c r="E111" s="10">
        <f>E11+E75</f>
        <v>258587534.32</v>
      </c>
      <c r="F111" s="10">
        <f>F11+F75</f>
        <v>258570045.82</v>
      </c>
      <c r="G111" s="10">
        <f>G11+G75</f>
        <v>285827536.90999997</v>
      </c>
      <c r="H111" s="10">
        <f>G111/C111*100</f>
        <v>66.33070658647485</v>
      </c>
    </row>
    <row r="113" ht="12.75">
      <c r="G113" s="59"/>
    </row>
    <row r="114" ht="12.75">
      <c r="G114" s="59"/>
    </row>
  </sheetData>
  <sheetProtection/>
  <mergeCells count="12">
    <mergeCell ref="A74:F74"/>
    <mergeCell ref="E7:E8"/>
    <mergeCell ref="C1:D1"/>
    <mergeCell ref="A7:A8"/>
    <mergeCell ref="B7:B8"/>
    <mergeCell ref="C7:C8"/>
    <mergeCell ref="D7:D8"/>
    <mergeCell ref="A4:H4"/>
    <mergeCell ref="A3:H3"/>
    <mergeCell ref="G7:G8"/>
    <mergeCell ref="H7:H8"/>
    <mergeCell ref="A10:H10"/>
  </mergeCells>
  <printOptions/>
  <pageMargins left="0.35433070866141736" right="0.1968503937007874" top="0.3937007874015748" bottom="0.2362204724409449" header="0.1968503937007874" footer="0.35433070866141736"/>
  <pageSetup fitToHeight="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view="pageBreakPreview" zoomScale="81" zoomScaleSheetLayoutView="8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2.83203125" style="0" customWidth="1"/>
    <col min="4" max="4" width="13.5" style="0" customWidth="1"/>
    <col min="5" max="5" width="13.33203125" style="0" customWidth="1"/>
    <col min="6" max="6" width="15.16015625" style="0" customWidth="1"/>
    <col min="7" max="7" width="13.66015625" style="0" customWidth="1"/>
    <col min="8" max="8" width="16.33203125" style="0" customWidth="1"/>
    <col min="9" max="9" width="13.33203125" style="0" customWidth="1"/>
    <col min="10" max="11" width="13.5" style="0" customWidth="1"/>
    <col min="12" max="13" width="15.5" style="0" customWidth="1"/>
    <col min="14" max="14" width="11.83203125" style="0" customWidth="1"/>
    <col min="15" max="15" width="12.66015625" style="0" customWidth="1"/>
    <col min="16" max="16" width="15.5" style="0" customWidth="1"/>
    <col min="17" max="17" width="13.33203125" style="0" customWidth="1"/>
  </cols>
  <sheetData>
    <row r="2" spans="1:8" ht="16.5" customHeight="1">
      <c r="A2" s="153" t="s">
        <v>80</v>
      </c>
      <c r="B2" s="153"/>
      <c r="C2" s="153"/>
      <c r="D2" s="153"/>
      <c r="E2" s="153"/>
      <c r="F2" s="153"/>
      <c r="G2" s="153"/>
      <c r="H2" s="153"/>
    </row>
    <row r="3" ht="12.75">
      <c r="H3" s="40" t="s">
        <v>37</v>
      </c>
    </row>
    <row r="4" spans="1:16" ht="18.75" customHeight="1">
      <c r="A4" s="154" t="s">
        <v>3</v>
      </c>
      <c r="B4" s="155" t="s">
        <v>79</v>
      </c>
      <c r="C4" s="157" t="s">
        <v>36</v>
      </c>
      <c r="D4" s="158"/>
      <c r="E4" s="158"/>
      <c r="F4" s="158"/>
      <c r="G4" s="159"/>
      <c r="H4" s="155" t="s">
        <v>178</v>
      </c>
      <c r="I4" s="151" t="s">
        <v>4</v>
      </c>
      <c r="J4" s="151"/>
      <c r="K4" s="151"/>
      <c r="L4" s="151"/>
      <c r="M4" s="151"/>
      <c r="O4" s="44"/>
      <c r="P4" s="116" t="s">
        <v>161</v>
      </c>
    </row>
    <row r="5" spans="1:17" ht="69">
      <c r="A5" s="154"/>
      <c r="B5" s="156"/>
      <c r="C5" s="114" t="s">
        <v>5</v>
      </c>
      <c r="D5" s="114" t="s">
        <v>6</v>
      </c>
      <c r="E5" s="114" t="s">
        <v>7</v>
      </c>
      <c r="F5" s="114" t="s">
        <v>8</v>
      </c>
      <c r="G5" s="114" t="s">
        <v>151</v>
      </c>
      <c r="H5" s="156"/>
      <c r="I5" s="41" t="s">
        <v>5</v>
      </c>
      <c r="J5" s="41" t="s">
        <v>6</v>
      </c>
      <c r="K5" s="41" t="s">
        <v>9</v>
      </c>
      <c r="L5" s="41" t="s">
        <v>8</v>
      </c>
      <c r="M5" s="114" t="s">
        <v>151</v>
      </c>
      <c r="O5" s="117" t="s">
        <v>162</v>
      </c>
      <c r="P5" s="117" t="s">
        <v>163</v>
      </c>
      <c r="Q5" s="117" t="s">
        <v>53</v>
      </c>
    </row>
    <row r="6" spans="1:17" ht="33" customHeight="1">
      <c r="A6" s="42" t="s">
        <v>10</v>
      </c>
      <c r="B6" s="43">
        <f>B7+B8+B9+B10+B11+B12+B13</f>
        <v>83689813.77000001</v>
      </c>
      <c r="C6" s="43">
        <f aca="true" t="shared" si="0" ref="C6:M6">C7+C8+C9+C10+C11+C12+C13</f>
        <v>18762356.21</v>
      </c>
      <c r="D6" s="43">
        <f t="shared" si="0"/>
        <v>4127718.34</v>
      </c>
      <c r="E6" s="43">
        <f t="shared" si="0"/>
        <v>23229625.35</v>
      </c>
      <c r="F6" s="43">
        <f t="shared" si="0"/>
        <v>37539470.67</v>
      </c>
      <c r="G6" s="43">
        <f t="shared" si="0"/>
        <v>30643.2</v>
      </c>
      <c r="H6" s="43">
        <f>H7+H8+H9+H10+H11+H12+H13</f>
        <v>79202136.96000001</v>
      </c>
      <c r="I6" s="43">
        <f>I7+I8+I9+I10+I11+I12+I13</f>
        <v>16601448.129999999</v>
      </c>
      <c r="J6" s="43">
        <f t="shared" si="0"/>
        <v>3324457.2700000005</v>
      </c>
      <c r="K6" s="43">
        <f t="shared" si="0"/>
        <v>22879205.240000002</v>
      </c>
      <c r="L6" s="43">
        <f t="shared" si="0"/>
        <v>36366383.120000005</v>
      </c>
      <c r="M6" s="43">
        <f t="shared" si="0"/>
        <v>30643.2</v>
      </c>
      <c r="N6" s="44">
        <f>H6-'дод. 12'!G20</f>
        <v>0</v>
      </c>
      <c r="O6" s="119">
        <f>SUM(O7:O13)</f>
        <v>25911564.390600003</v>
      </c>
      <c r="P6" s="119">
        <f>SUM(P7:P13)</f>
        <v>64415241.78120001</v>
      </c>
      <c r="Q6" s="120">
        <f aca="true" t="shared" si="1" ref="Q6:Q13">O6+P6</f>
        <v>90326806.17180002</v>
      </c>
    </row>
    <row r="7" spans="1:17" ht="13.5">
      <c r="A7" s="45" t="s">
        <v>11</v>
      </c>
      <c r="B7" s="46">
        <f>C7+D7+E7+F7</f>
        <v>32768180.76</v>
      </c>
      <c r="C7" s="47">
        <v>8018065.65</v>
      </c>
      <c r="D7" s="47">
        <v>1780800.66</v>
      </c>
      <c r="E7" s="47">
        <v>13406983.56</v>
      </c>
      <c r="F7" s="94">
        <v>9562330.89</v>
      </c>
      <c r="G7" s="94"/>
      <c r="H7" s="43">
        <f>I7+J7+K7+L7</f>
        <v>31896648.46</v>
      </c>
      <c r="I7" s="53">
        <f>281129.93+217549.91+27453.97+307767.07+21629.92+568765.18+16539.11+266020.33+67568.48+823905.92+357386.31+12821.13+576639.19+8082.26+268335.19+713106.78+340150.57+82097.88+450013.61+257579.16+526219.52+72504.43+16501.45+299841.11+50921.26+647355.39+142059.26+16629.92+276159.4+4112.01</f>
        <v>7716845.649999999</v>
      </c>
      <c r="J7" s="53">
        <f>50868.83+20794.63+6916.3+83964.98+3882.15+125128.34+3570.79+58524.47+15045.5+181259.3+78624.99+2820.65+143994.08+1778.09+59033.74+156883.49+74833.13+18061.53+99002.99+56667.42+115768.29+15950.97+3630.33+65965.04+8576.84+136249.94+35342.3+2771.79+60755.07+904.64</f>
        <v>1687570.61</v>
      </c>
      <c r="K7" s="48">
        <f>13830+43853+38300+1950000+174613.37+1860+507533.13+12380+1039403.21+198099.96+701393.08+1207372.5+229195.95+4491.07+210939.98+84998.81+32145.2+14229.77+274255.94+54900+589899.54+280500+38817.88+11003.14+1834896.02+75023.42+36611.64+1523532.23+127413.09+52256.07+292324.41+321636.18+733970.73+19600+590976.61+84585.98</f>
        <v>13406841.910000002</v>
      </c>
      <c r="L7" s="100">
        <f>100176+19020+18210+631419+372586+48448+102126+56878.46+368839+15000+5000+712722+1173871+1155429+1350406+695732+428900+1029978+222720+421139+60999.74+7500+88291.09</f>
        <v>9085390.290000001</v>
      </c>
      <c r="M7" s="100"/>
      <c r="N7" s="44">
        <f>H7-'дод. 12'!G21</f>
        <v>0</v>
      </c>
      <c r="O7" s="118">
        <f aca="true" t="shared" si="2" ref="O7:O13">(C7+D7)*1.132</f>
        <v>11092316.66292</v>
      </c>
      <c r="P7" s="118">
        <f aca="true" t="shared" si="3" ref="P7:P13">(E7+F7)*1.06</f>
        <v>24347473.317000005</v>
      </c>
      <c r="Q7" s="118">
        <f t="shared" si="1"/>
        <v>35439789.97992001</v>
      </c>
    </row>
    <row r="8" spans="1:17" ht="13.5">
      <c r="A8" s="45" t="s">
        <v>12</v>
      </c>
      <c r="B8" s="46">
        <f aca="true" t="shared" si="4" ref="B8:B15">C8+D8+E8+F8</f>
        <v>1500003</v>
      </c>
      <c r="C8" s="47">
        <v>120568.11</v>
      </c>
      <c r="D8" s="47">
        <v>26461.78</v>
      </c>
      <c r="E8" s="47">
        <v>184599.96</v>
      </c>
      <c r="F8" s="47">
        <v>1168373.15</v>
      </c>
      <c r="G8" s="47"/>
      <c r="H8" s="43">
        <f aca="true" t="shared" si="5" ref="H8:H16">I8+J8+K8+L8</f>
        <v>1344798.1300000001</v>
      </c>
      <c r="I8" s="48">
        <f>7606.18+8804.42+25158+28433.84+26940</f>
        <v>96942.44</v>
      </c>
      <c r="J8" s="48">
        <f>1673.36+1936.97+5534.76+6255.44+6436.87</f>
        <v>21837.399999999998</v>
      </c>
      <c r="K8" s="48">
        <f>162000+22599.96</f>
        <v>184599.96</v>
      </c>
      <c r="L8" s="48">
        <f>142046.85+289219.34+154661.51+385204.21+70286.42</f>
        <v>1041418.3300000002</v>
      </c>
      <c r="M8" s="48"/>
      <c r="N8" s="44">
        <f>H8-'дод. 12'!G22</f>
        <v>0</v>
      </c>
      <c r="O8" s="118">
        <f t="shared" si="2"/>
        <v>166437.83548</v>
      </c>
      <c r="P8" s="118">
        <f t="shared" si="3"/>
        <v>1434151.4966</v>
      </c>
      <c r="Q8" s="118">
        <f t="shared" si="1"/>
        <v>1600589.33208</v>
      </c>
    </row>
    <row r="9" spans="1:17" ht="18" customHeight="1">
      <c r="A9" s="3" t="s">
        <v>13</v>
      </c>
      <c r="B9" s="46">
        <f t="shared" si="4"/>
        <v>2600002</v>
      </c>
      <c r="C9" s="47">
        <v>320046.17</v>
      </c>
      <c r="D9" s="47">
        <v>70734.21</v>
      </c>
      <c r="E9" s="47">
        <v>1121999.54</v>
      </c>
      <c r="F9" s="47">
        <v>1087222.08</v>
      </c>
      <c r="G9" s="47"/>
      <c r="H9" s="43">
        <f t="shared" si="5"/>
        <v>2539470.88</v>
      </c>
      <c r="I9" s="48">
        <f>84647+89104+29649.99+67029.51</f>
        <v>270430.5</v>
      </c>
      <c r="J9" s="48">
        <f>18622.34+19602.88+6522.99+15070.55</f>
        <v>59818.759999999995</v>
      </c>
      <c r="K9" s="48">
        <f>598267.95+193973.79+173600+142999.8+13158</f>
        <v>1121999.54</v>
      </c>
      <c r="L9" s="48">
        <f>678818.4+84590.4+74373.5+249439.78</f>
        <v>1087222.08</v>
      </c>
      <c r="M9" s="48"/>
      <c r="N9" s="44">
        <f>H9-'дод. 12'!G23</f>
        <v>0</v>
      </c>
      <c r="O9" s="118">
        <f>(C9+D9)*1.132</f>
        <v>442363.39015999995</v>
      </c>
      <c r="P9" s="118">
        <f>(E9+F9)*1.06</f>
        <v>2341774.9172</v>
      </c>
      <c r="Q9" s="118">
        <f>O9+P9</f>
        <v>2784138.30736</v>
      </c>
    </row>
    <row r="10" spans="1:17" ht="27.75" customHeight="1">
      <c r="A10" s="3" t="s">
        <v>81</v>
      </c>
      <c r="B10" s="46">
        <f t="shared" si="4"/>
        <v>1800000.0000000002</v>
      </c>
      <c r="C10" s="47">
        <v>1183183.62</v>
      </c>
      <c r="D10" s="47">
        <v>243213.33</v>
      </c>
      <c r="E10" s="47">
        <v>373603.05</v>
      </c>
      <c r="F10" s="47"/>
      <c r="G10" s="47"/>
      <c r="H10" s="43">
        <f t="shared" si="5"/>
        <v>1797347.8699999996</v>
      </c>
      <c r="I10" s="53">
        <f>14631+115992.57+50654+119814+22901.3+123546.7+38120.11+39788+45023.66+39586.71+30444.82+35640.52+27330.63+192246.55+34306.9+192246.55+24224.47+32176.93+4508.2</f>
        <v>1183183.6199999996</v>
      </c>
      <c r="J10" s="53">
        <f>3218.82+25518.37+10109+26259+5038.29+27180.12+8386.42+8753.36+9905.21+8709.08+6697.86+6525.24+6012.74+34976.1+7547.52+34976.1+5329.38+7078.92+991.8</f>
        <v>243213.32999999996</v>
      </c>
      <c r="K10" s="53">
        <f>199790.76+25185.9+40500+41199.96+26400+16831.64+21042.66</f>
        <v>370950.92000000004</v>
      </c>
      <c r="L10" s="53"/>
      <c r="M10" s="53"/>
      <c r="N10" s="44">
        <f>H10-'дод. 12'!G24</f>
        <v>0</v>
      </c>
      <c r="O10" s="118">
        <f t="shared" si="2"/>
        <v>1614681.3474</v>
      </c>
      <c r="P10" s="118">
        <f t="shared" si="3"/>
        <v>396019.233</v>
      </c>
      <c r="Q10" s="118">
        <f t="shared" si="1"/>
        <v>2010700.5804</v>
      </c>
    </row>
    <row r="11" spans="1:17" ht="17.25" customHeight="1">
      <c r="A11" s="3" t="s">
        <v>14</v>
      </c>
      <c r="B11" s="46">
        <f t="shared" si="4"/>
        <v>4400007</v>
      </c>
      <c r="C11" s="47"/>
      <c r="D11" s="47"/>
      <c r="E11" s="47">
        <v>3219.79</v>
      </c>
      <c r="F11" s="47">
        <v>4396787.21</v>
      </c>
      <c r="G11" s="47"/>
      <c r="H11" s="43">
        <f t="shared" si="5"/>
        <v>4245048.91</v>
      </c>
      <c r="I11" s="48"/>
      <c r="J11" s="48"/>
      <c r="K11" s="48">
        <f>2698</f>
        <v>2698</v>
      </c>
      <c r="L11" s="48">
        <f>118097.53+117705.2+230632.96+304713.47+335975.53+353427+147169.89+522600+251898+387133+794872.33+259225+418901</f>
        <v>4242350.91</v>
      </c>
      <c r="M11" s="48"/>
      <c r="N11" s="44">
        <f>H11-'дод. 12'!G25</f>
        <v>0</v>
      </c>
      <c r="O11" s="118">
        <f t="shared" si="2"/>
        <v>0</v>
      </c>
      <c r="P11" s="118">
        <f t="shared" si="3"/>
        <v>4664007.42</v>
      </c>
      <c r="Q11" s="118">
        <f t="shared" si="1"/>
        <v>4664007.42</v>
      </c>
    </row>
    <row r="12" spans="1:17" ht="30.75" customHeight="1">
      <c r="A12" s="3" t="s">
        <v>15</v>
      </c>
      <c r="B12" s="46">
        <f>C12+D12+E12+F12</f>
        <v>1260002</v>
      </c>
      <c r="C12" s="47">
        <v>72725.25</v>
      </c>
      <c r="D12" s="47">
        <v>15999.55</v>
      </c>
      <c r="E12" s="47">
        <v>533339.2</v>
      </c>
      <c r="F12" s="47">
        <v>637938</v>
      </c>
      <c r="G12" s="47"/>
      <c r="H12" s="43">
        <f>I12+J12+K12+L12</f>
        <v>851085.6</v>
      </c>
      <c r="I12" s="48">
        <f>4230.71</f>
        <v>4230.71</v>
      </c>
      <c r="J12" s="48">
        <f>930.76</f>
        <v>930.76</v>
      </c>
      <c r="K12" s="48">
        <f>196020+197666.43+2126+26523.36+17240.18+88619.9+900+21399.73</f>
        <v>550495.6</v>
      </c>
      <c r="L12" s="48">
        <f>171901.73+123526.8</f>
        <v>295428.53</v>
      </c>
      <c r="M12" s="48"/>
      <c r="N12" s="44">
        <f>H12-'дод. 12'!G26</f>
        <v>0</v>
      </c>
      <c r="O12" s="118">
        <f t="shared" si="2"/>
        <v>100436.4736</v>
      </c>
      <c r="P12" s="118">
        <f t="shared" si="3"/>
        <v>1241553.832</v>
      </c>
      <c r="Q12" s="118">
        <f t="shared" si="1"/>
        <v>1341990.3055999998</v>
      </c>
    </row>
    <row r="13" spans="1:17" ht="105" customHeight="1">
      <c r="A13" s="50" t="s">
        <v>16</v>
      </c>
      <c r="B13" s="46">
        <f>C13+D13+E13+F13+G13</f>
        <v>39361619.010000005</v>
      </c>
      <c r="C13" s="51">
        <f>SUM(C14:C16)</f>
        <v>9047767.41</v>
      </c>
      <c r="D13" s="51">
        <f>SUM(D14:D16)</f>
        <v>1990508.81</v>
      </c>
      <c r="E13" s="51">
        <f>SUM(E14:E16)</f>
        <v>7605880.25</v>
      </c>
      <c r="F13" s="51">
        <f>SUM(F14:F16)</f>
        <v>20686819.34</v>
      </c>
      <c r="G13" s="51">
        <f>SUM(G14:G16)</f>
        <v>30643.2</v>
      </c>
      <c r="H13" s="43">
        <f>I13+J13+K13+L13+M13</f>
        <v>36527737.11</v>
      </c>
      <c r="I13" s="52">
        <f>I14+I15+I16</f>
        <v>7329815.209999999</v>
      </c>
      <c r="J13" s="52">
        <f>J14+J15+J16</f>
        <v>1311086.4100000004</v>
      </c>
      <c r="K13" s="52">
        <f>K14+K15+K16</f>
        <v>7241619.3100000005</v>
      </c>
      <c r="L13" s="52">
        <f>L14+L15+L16</f>
        <v>20614572.98</v>
      </c>
      <c r="M13" s="52">
        <f>M14+M15+M16</f>
        <v>30643.2</v>
      </c>
      <c r="N13" s="44">
        <f>H13-'дод. 12'!G27</f>
        <v>0</v>
      </c>
      <c r="O13" s="118">
        <f t="shared" si="2"/>
        <v>12495328.68104</v>
      </c>
      <c r="P13" s="118">
        <f t="shared" si="3"/>
        <v>29990261.5654</v>
      </c>
      <c r="Q13" s="118">
        <f t="shared" si="1"/>
        <v>42485590.24644</v>
      </c>
    </row>
    <row r="14" spans="1:13" ht="13.5">
      <c r="A14" s="45" t="s">
        <v>17</v>
      </c>
      <c r="B14" s="46">
        <f>C14+D14+E14+F14</f>
        <v>38424229.82</v>
      </c>
      <c r="C14" s="53">
        <v>8797767.41</v>
      </c>
      <c r="D14" s="53">
        <v>1935508.81</v>
      </c>
      <c r="E14" s="53">
        <f>4212262.57+2827117.68</f>
        <v>7039380.25</v>
      </c>
      <c r="F14" s="53">
        <v>20651573.35</v>
      </c>
      <c r="G14" s="53"/>
      <c r="H14" s="54">
        <f t="shared" si="5"/>
        <v>36044205.96</v>
      </c>
      <c r="I14" s="48">
        <f>362013+21530+732637.24+561858+530949+239332+332428.3+226005.14+313383.18+199366.05+5644.03+3159.6+345325.68+208072.9+311524.32+10768.44+280677.64+310748.87+284013.89+388013.6+213859.05+366314.77+72504.42+13782.06+281839.21+8925.36+323471.97+359731.83+11910.28</f>
        <v>7319789.829999999</v>
      </c>
      <c r="J14" s="48">
        <f>77814.18+4740+138965.72+111887+120741+34092.88+73134.23+49721.13+30971.39+31843.91+1241.69+695.11+54380.3+32256.17+49356.24+2369.06+48148.86+68364.75+45781.55+67910.01+12526.84+62020.37+6659.44+3032.05+48855.21+972.37+50276.72+77502.39+2620.26</f>
        <v>1308880.8300000003</v>
      </c>
      <c r="K14" s="48">
        <f>325800+519637+56897.82+28388.01+147500+179752.56+900173.68+9797.06+36500.7+110823.39+111826.8+12718.84+38883.77+26684.4+67267.38+14052.16+3681.25+1121784.8+12338+37950.68+384399.96+210300+221191.1+294893.28+480147.36+228383.18+1167955.98+72890.15</f>
        <v>6822619.3100000005</v>
      </c>
      <c r="L14" s="48">
        <f>2069557.39+3866925.55+2570843.13+6234389.91+934708.54+3092371.24+814+1741760.42+1130+3872+2475+12500+52605.6+8963.21</f>
        <v>20592915.990000002</v>
      </c>
      <c r="M14" s="48"/>
    </row>
    <row r="15" spans="1:13" ht="30" customHeight="1">
      <c r="A15" s="3" t="s">
        <v>18</v>
      </c>
      <c r="B15" s="46">
        <f t="shared" si="4"/>
        <v>35245.99</v>
      </c>
      <c r="C15" s="53"/>
      <c r="D15" s="53"/>
      <c r="E15" s="53"/>
      <c r="F15" s="53">
        <v>35245.99</v>
      </c>
      <c r="G15" s="53"/>
      <c r="H15" s="54">
        <f t="shared" si="5"/>
        <v>21656.99</v>
      </c>
      <c r="I15" s="48"/>
      <c r="J15" s="48"/>
      <c r="K15" s="48"/>
      <c r="L15" s="48">
        <f>21656.99</f>
        <v>21656.99</v>
      </c>
      <c r="M15" s="48"/>
    </row>
    <row r="16" spans="1:13" ht="43.5" customHeight="1">
      <c r="A16" s="49" t="s">
        <v>50</v>
      </c>
      <c r="B16" s="46">
        <f>C16+D16+E16+F16+G16</f>
        <v>902143.2</v>
      </c>
      <c r="C16" s="53">
        <v>250000</v>
      </c>
      <c r="D16" s="53">
        <v>55000</v>
      </c>
      <c r="E16" s="53">
        <v>566500</v>
      </c>
      <c r="F16" s="53">
        <v>0</v>
      </c>
      <c r="G16" s="53">
        <v>30643.2</v>
      </c>
      <c r="H16" s="54">
        <f t="shared" si="5"/>
        <v>431230.96</v>
      </c>
      <c r="I16" s="53">
        <f>10025.38</f>
        <v>10025.38</v>
      </c>
      <c r="J16" s="53">
        <f>2205.58</f>
        <v>2205.58</v>
      </c>
      <c r="K16" s="53">
        <f>19000+260000+140000</f>
        <v>419000</v>
      </c>
      <c r="L16" s="53"/>
      <c r="M16" s="53">
        <f>10596+20047.2</f>
        <v>30643.2</v>
      </c>
    </row>
    <row r="17" spans="3:7" ht="12.75">
      <c r="C17" s="2"/>
      <c r="D17" s="2"/>
      <c r="E17" s="2"/>
      <c r="F17" s="2"/>
      <c r="G17" s="2"/>
    </row>
    <row r="19" spans="1:7" ht="12.75">
      <c r="A19" s="152"/>
      <c r="B19" s="152"/>
      <c r="C19" s="152"/>
      <c r="D19" s="152"/>
      <c r="E19" s="152"/>
      <c r="F19" s="152"/>
      <c r="G19" s="115"/>
    </row>
  </sheetData>
  <sheetProtection/>
  <mergeCells count="7">
    <mergeCell ref="I4:M4"/>
    <mergeCell ref="A19:F19"/>
    <mergeCell ref="A2:H2"/>
    <mergeCell ref="A4:A5"/>
    <mergeCell ref="B4:B5"/>
    <mergeCell ref="H4:H5"/>
    <mergeCell ref="C4:G4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zoomScalePageLayoutView="0" workbookViewId="0" topLeftCell="A1">
      <selection activeCell="L20" sqref="L20"/>
    </sheetView>
  </sheetViews>
  <sheetFormatPr defaultColWidth="9.33203125" defaultRowHeight="12.75"/>
  <cols>
    <col min="1" max="1" width="21.5" style="0" customWidth="1"/>
    <col min="2" max="2" width="12.5" style="0" customWidth="1"/>
    <col min="3" max="3" width="15.33203125" style="0" customWidth="1"/>
    <col min="4" max="4" width="14.83203125" style="0" customWidth="1"/>
    <col min="5" max="6" width="14.66015625" style="0" customWidth="1"/>
    <col min="7" max="7" width="13.16015625" style="0" customWidth="1"/>
    <col min="8" max="8" width="13.5" style="0" customWidth="1"/>
    <col min="9" max="9" width="13" style="0" customWidth="1"/>
    <col min="10" max="10" width="13.33203125" style="0" customWidth="1"/>
    <col min="11" max="11" width="13" style="0" customWidth="1"/>
    <col min="12" max="12" width="13.66015625" style="0" customWidth="1"/>
    <col min="13" max="13" width="14.66015625" style="0" customWidth="1"/>
    <col min="14" max="14" width="14.83203125" style="0" customWidth="1"/>
    <col min="15" max="15" width="11.66015625" style="0" bestFit="1" customWidth="1"/>
    <col min="16" max="16" width="12.66015625" style="0" bestFit="1" customWidth="1"/>
  </cols>
  <sheetData>
    <row r="2" spans="6:8" ht="12.75">
      <c r="F2" s="160" t="s">
        <v>51</v>
      </c>
      <c r="G2" s="160"/>
      <c r="H2" s="160"/>
    </row>
    <row r="4" spans="1:16" ht="12.75">
      <c r="A4" s="60"/>
      <c r="B4" s="60" t="s">
        <v>38</v>
      </c>
      <c r="C4" s="60" t="s">
        <v>39</v>
      </c>
      <c r="D4" s="60" t="s">
        <v>40</v>
      </c>
      <c r="E4" s="60" t="s">
        <v>41</v>
      </c>
      <c r="F4" s="60" t="s">
        <v>42</v>
      </c>
      <c r="G4" s="60" t="s">
        <v>43</v>
      </c>
      <c r="H4" s="60" t="s">
        <v>52</v>
      </c>
      <c r="I4" s="60" t="s">
        <v>45</v>
      </c>
      <c r="J4" s="60" t="s">
        <v>46</v>
      </c>
      <c r="K4" s="60" t="s">
        <v>47</v>
      </c>
      <c r="L4" s="60" t="s">
        <v>48</v>
      </c>
      <c r="M4" s="60" t="s">
        <v>49</v>
      </c>
      <c r="N4" s="60" t="s">
        <v>53</v>
      </c>
      <c r="P4" t="s">
        <v>54</v>
      </c>
    </row>
    <row r="5" spans="1:14" ht="12.75">
      <c r="A5" s="60"/>
      <c r="B5" s="161" t="s">
        <v>55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60"/>
    </row>
    <row r="6" spans="1:15" ht="12.75">
      <c r="A6" s="60" t="s">
        <v>56</v>
      </c>
      <c r="B6" s="101">
        <v>495608.7</v>
      </c>
      <c r="C6" s="101">
        <v>1233806.4</v>
      </c>
      <c r="D6" s="101">
        <f>1798150.65-619123.71</f>
        <v>1179026.94</v>
      </c>
      <c r="E6" s="101">
        <f>1820732.65-209005.3-317226.23</f>
        <v>1294501.1199999999</v>
      </c>
      <c r="F6" s="101">
        <f>1820732.65+209005.3+317226.23-631147.54</f>
        <v>1715816.6399999997</v>
      </c>
      <c r="G6" s="101">
        <f>1820732.64+619123.71+13000-679750</f>
        <v>1773106.3499999996</v>
      </c>
      <c r="H6" s="101">
        <f>1916390.32+81967.21+239875-13000-500000-193100.15</f>
        <v>1532132.3800000004</v>
      </c>
      <c r="I6" s="101">
        <f>1856202.2+81967.21+239875+250000-553470.85</f>
        <v>1874573.56</v>
      </c>
      <c r="J6" s="101">
        <f>1500000+467213.12+200000+250000+553470.85-970683.97</f>
        <v>2000000.0000000002</v>
      </c>
      <c r="K6" s="101">
        <f>1500000+193100.15+485341.99</f>
        <v>2178442.1399999997</v>
      </c>
      <c r="L6" s="101">
        <f>1500000+485341.98</f>
        <v>1985341.98</v>
      </c>
      <c r="M6" s="79">
        <v>1500000</v>
      </c>
      <c r="N6" s="61">
        <f>SUM(B6:M6)</f>
        <v>18762356.21</v>
      </c>
      <c r="O6" s="44"/>
    </row>
    <row r="7" spans="1:15" ht="12.75">
      <c r="A7" s="60" t="s">
        <v>57</v>
      </c>
      <c r="B7" s="101">
        <v>109033.91</v>
      </c>
      <c r="C7" s="101">
        <v>271437.41</v>
      </c>
      <c r="D7" s="101">
        <f>395593.14-150876.29</f>
        <v>244716.85</v>
      </c>
      <c r="E7" s="101">
        <f>400561.18-72726.53-69789.77</f>
        <v>258044.88</v>
      </c>
      <c r="F7" s="101">
        <f>400561.18+72726.53+69789.77-138852.46</f>
        <v>404225.02</v>
      </c>
      <c r="G7" s="101">
        <f>400561.18+150876.29-13000-149545</f>
        <v>388892.47</v>
      </c>
      <c r="H7" s="101">
        <f>421605.86+18032.79+52772.5+13000-110000-105436.13-112310</f>
        <v>177665.01999999996</v>
      </c>
      <c r="I7" s="101">
        <f>408364.48+18032.79+52772.5+55000-121763.58+56155-63473.15</f>
        <v>405088.04</v>
      </c>
      <c r="J7" s="101">
        <f>330000+102786.88+44000+55000+121763.58-269705.46+56155</f>
        <v>439999.99999999994</v>
      </c>
      <c r="K7" s="101">
        <f>330000+105436.13+134852.73</f>
        <v>570288.86</v>
      </c>
      <c r="L7" s="101">
        <f>330000+134852.73</f>
        <v>464852.73</v>
      </c>
      <c r="M7" s="79">
        <f>330000+63473.15</f>
        <v>393473.15</v>
      </c>
      <c r="N7" s="61">
        <f>SUM(B7:M7)</f>
        <v>4127718.3399999994</v>
      </c>
      <c r="O7" s="44"/>
    </row>
    <row r="8" spans="1:16" ht="12.75">
      <c r="A8" s="62" t="s">
        <v>53</v>
      </c>
      <c r="B8" s="102">
        <f>B6+B7</f>
        <v>604642.61</v>
      </c>
      <c r="C8" s="102">
        <f aca="true" t="shared" si="0" ref="C8:M8">C6+C7</f>
        <v>1505243.8099999998</v>
      </c>
      <c r="D8" s="102">
        <f t="shared" si="0"/>
        <v>1423743.79</v>
      </c>
      <c r="E8" s="102">
        <f t="shared" si="0"/>
        <v>1552546</v>
      </c>
      <c r="F8" s="102">
        <f t="shared" si="0"/>
        <v>2120041.6599999997</v>
      </c>
      <c r="G8" s="102">
        <f t="shared" si="0"/>
        <v>2161998.8199999994</v>
      </c>
      <c r="H8" s="102">
        <f t="shared" si="0"/>
        <v>1709797.4000000004</v>
      </c>
      <c r="I8" s="102">
        <f t="shared" si="0"/>
        <v>2279661.6</v>
      </c>
      <c r="J8" s="102">
        <f>J6+J7</f>
        <v>2440000</v>
      </c>
      <c r="K8" s="102">
        <f t="shared" si="0"/>
        <v>2748730.9999999995</v>
      </c>
      <c r="L8" s="102">
        <f t="shared" si="0"/>
        <v>2450194.71</v>
      </c>
      <c r="M8" s="63">
        <f t="shared" si="0"/>
        <v>1893473.15</v>
      </c>
      <c r="N8" s="63">
        <f>N6+N7</f>
        <v>22890074.55</v>
      </c>
      <c r="P8" s="44">
        <f>B8+C8+D8+E8+F8+G8+H8+I8+J8+K8+L8</f>
        <v>20996601.4</v>
      </c>
    </row>
    <row r="10" spans="6:10" ht="12.75">
      <c r="F10" s="152" t="s">
        <v>58</v>
      </c>
      <c r="G10" s="152"/>
      <c r="H10" s="152"/>
      <c r="I10" s="152"/>
      <c r="J10" s="152"/>
    </row>
    <row r="11" spans="1:16" ht="12.75">
      <c r="A11" s="60" t="s">
        <v>56</v>
      </c>
      <c r="B11" s="61">
        <f>B14+B16</f>
        <v>376644</v>
      </c>
      <c r="C11" s="61">
        <f>C14+C16+C18</f>
        <v>1461141.81</v>
      </c>
      <c r="D11" s="61">
        <f>D14+D16+D18</f>
        <v>1194126.23</v>
      </c>
      <c r="E11" s="61">
        <f aca="true" t="shared" si="1" ref="E11:K11">E14+E16+E18+E20</f>
        <v>1298383.27</v>
      </c>
      <c r="F11" s="61">
        <f t="shared" si="1"/>
        <v>1538385.2100000002</v>
      </c>
      <c r="G11" s="61">
        <f t="shared" si="1"/>
        <v>1824218.83</v>
      </c>
      <c r="H11" s="61">
        <f t="shared" si="1"/>
        <v>1540537.77</v>
      </c>
      <c r="I11" s="61">
        <f t="shared" si="1"/>
        <v>1874573.5600000003</v>
      </c>
      <c r="J11" s="61">
        <f t="shared" si="1"/>
        <v>1712702.2499999998</v>
      </c>
      <c r="K11" s="61">
        <f t="shared" si="1"/>
        <v>1858537.9300000002</v>
      </c>
      <c r="L11" s="61">
        <f>L14+L16+L18</f>
        <v>1867786.6</v>
      </c>
      <c r="M11" s="61">
        <f>M14+M16+M18</f>
        <v>0</v>
      </c>
      <c r="N11" s="61">
        <f>SUM(B11:M11)</f>
        <v>16547037.46</v>
      </c>
      <c r="O11" s="44"/>
      <c r="P11" s="44">
        <f>B13+C13+D13+E13+F13+G13+H13+I13+J13+K13+L13+M13</f>
        <v>19856509.57</v>
      </c>
    </row>
    <row r="12" spans="1:15" ht="12.75">
      <c r="A12" s="60" t="s">
        <v>57</v>
      </c>
      <c r="B12" s="61">
        <f>B15+B17</f>
        <v>81033</v>
      </c>
      <c r="C12" s="61">
        <f>C15+C17+C19</f>
        <v>286480.08999999997</v>
      </c>
      <c r="D12" s="61">
        <f>D15+D17+D19</f>
        <v>237000</v>
      </c>
      <c r="E12" s="61">
        <f aca="true" t="shared" si="2" ref="E12:K12">E15+E17+E19</f>
        <v>270097.81</v>
      </c>
      <c r="F12" s="61">
        <f t="shared" si="2"/>
        <v>268697.47000000003</v>
      </c>
      <c r="G12" s="61">
        <f t="shared" si="2"/>
        <v>361927.7</v>
      </c>
      <c r="H12" s="61">
        <f t="shared" si="2"/>
        <v>313070.89999999997</v>
      </c>
      <c r="I12" s="61">
        <f t="shared" si="2"/>
        <v>388386.54000000004</v>
      </c>
      <c r="J12" s="61">
        <f t="shared" si="2"/>
        <v>313096.61</v>
      </c>
      <c r="K12" s="61">
        <f t="shared" si="2"/>
        <v>367868.49</v>
      </c>
      <c r="L12" s="61">
        <f>L15+L17+L19</f>
        <v>395543.5</v>
      </c>
      <c r="M12" s="61">
        <f>M15+M17+M19</f>
        <v>0</v>
      </c>
      <c r="N12" s="61">
        <f>SUM(B12:M12)</f>
        <v>3283202.1099999994</v>
      </c>
      <c r="O12" s="44"/>
    </row>
    <row r="13" spans="1:14" s="64" customFormat="1" ht="12.75">
      <c r="A13" s="62" t="s">
        <v>59</v>
      </c>
      <c r="B13" s="63">
        <f>B11+B12+B20</f>
        <v>483947</v>
      </c>
      <c r="C13" s="63">
        <f aca="true" t="shared" si="3" ref="C13:M13">C11+C12</f>
        <v>1747621.9</v>
      </c>
      <c r="D13" s="63">
        <f t="shared" si="3"/>
        <v>1431126.23</v>
      </c>
      <c r="E13" s="63">
        <f>E11+E12</f>
        <v>1568481.08</v>
      </c>
      <c r="F13" s="63">
        <f>F11+F12</f>
        <v>1807082.6800000002</v>
      </c>
      <c r="G13" s="63">
        <f t="shared" si="3"/>
        <v>2186146.5300000003</v>
      </c>
      <c r="H13" s="63">
        <f>H11+H12</f>
        <v>1853608.67</v>
      </c>
      <c r="I13" s="63">
        <f t="shared" si="3"/>
        <v>2262960.1000000006</v>
      </c>
      <c r="J13" s="63">
        <f t="shared" si="3"/>
        <v>2025798.8599999999</v>
      </c>
      <c r="K13" s="63">
        <f>K11+K12</f>
        <v>2226406.42</v>
      </c>
      <c r="L13" s="63">
        <f>L11+L12</f>
        <v>2263330.1</v>
      </c>
      <c r="M13" s="63">
        <f t="shared" si="3"/>
        <v>0</v>
      </c>
      <c r="N13" s="63">
        <f>SUM(B13:M13)</f>
        <v>19856509.57</v>
      </c>
    </row>
    <row r="14" spans="1:14" ht="12.75">
      <c r="A14" s="65" t="s">
        <v>60</v>
      </c>
      <c r="B14" s="66">
        <f>14631+362013</f>
        <v>376644</v>
      </c>
      <c r="C14" s="66">
        <f>50654+561858</f>
        <v>612512</v>
      </c>
      <c r="D14" s="66">
        <f>281129.93+22901.3+239332</f>
        <v>543363.23</v>
      </c>
      <c r="E14" s="66">
        <f>307767.07+38120.11+226005.14</f>
        <v>571892.3200000001</v>
      </c>
      <c r="F14" s="66">
        <f>266020.33+45023.66+199366.05</f>
        <v>510410.04</v>
      </c>
      <c r="G14" s="66">
        <f>357386.31+30444.82+208072.9</f>
        <v>595904.03</v>
      </c>
      <c r="H14" s="66">
        <f>268335.19+27330.63+280677.64</f>
        <v>576343.46</v>
      </c>
      <c r="I14" s="66">
        <f>340150.57+34306.9+284013.89</f>
        <v>658471.3600000001</v>
      </c>
      <c r="J14" s="77">
        <f>257579.16+84647+24224.47+213859.05</f>
        <v>580309.6799999999</v>
      </c>
      <c r="K14" s="77">
        <f>299841.11+28433.84+29649.99+281839.21</f>
        <v>639764.15</v>
      </c>
      <c r="L14" s="77">
        <f>276159.4+352118.86</f>
        <v>628278.26</v>
      </c>
      <c r="M14" s="66"/>
      <c r="N14" s="66"/>
    </row>
    <row r="15" spans="1:14" ht="12.75">
      <c r="A15" s="65" t="s">
        <v>57</v>
      </c>
      <c r="B15" s="66">
        <f>3218.82+77814.18</f>
        <v>81033</v>
      </c>
      <c r="C15" s="66">
        <f>10109+111887</f>
        <v>121996</v>
      </c>
      <c r="D15" s="66">
        <f>50868.83+5038.29+34092.88</f>
        <v>90000</v>
      </c>
      <c r="E15" s="66">
        <f>83964.98+8386.42+49721.13</f>
        <v>142072.53</v>
      </c>
      <c r="F15" s="66">
        <f>58524.47+9905.21+31843.91</f>
        <v>100273.59</v>
      </c>
      <c r="G15" s="66">
        <f>78624.99+6697.86+32256.17</f>
        <v>117579.02</v>
      </c>
      <c r="H15" s="66">
        <f>59033.74+6012.74+48148.86</f>
        <v>113195.34</v>
      </c>
      <c r="I15" s="66">
        <f>74833.13+7547.52+45781.55</f>
        <v>128162.20000000001</v>
      </c>
      <c r="J15" s="77">
        <f>56667.42+18622.34+5329.38+12526.84</f>
        <v>93145.98</v>
      </c>
      <c r="K15" s="77">
        <f>65965.04+6255.44+6522.99+48855.21</f>
        <v>127598.68</v>
      </c>
      <c r="L15" s="77">
        <f>60755.07+85115.36</f>
        <v>145870.43</v>
      </c>
      <c r="M15" s="66"/>
      <c r="N15" s="66"/>
    </row>
    <row r="16" spans="1:16" ht="12.75">
      <c r="A16" s="65" t="s">
        <v>61</v>
      </c>
      <c r="B16" s="66"/>
      <c r="C16" s="66">
        <f>115992.57+732637.24</f>
        <v>848629.81</v>
      </c>
      <c r="D16" s="66">
        <f>119814+530949</f>
        <v>650763</v>
      </c>
      <c r="E16" s="66">
        <f>217549.91+123546.7+332428.3</f>
        <v>673524.9099999999</v>
      </c>
      <c r="F16" s="66">
        <f>568765.18+39788+313383.18</f>
        <v>921936.3600000001</v>
      </c>
      <c r="G16" s="66">
        <f>823905.92+39586.71+345325.68</f>
        <v>1208818.31</v>
      </c>
      <c r="H16" s="66">
        <f>576639.19+35640.52+311524.32</f>
        <v>923804.03</v>
      </c>
      <c r="I16" s="66">
        <f>713106.78+192246.55+310748.87</f>
        <v>1216102.2000000002</v>
      </c>
      <c r="J16" s="77">
        <f>450013.61+192246.55+388013.6</f>
        <v>1030273.7599999999</v>
      </c>
      <c r="K16" s="77">
        <f>526219.52+25158+89104+32176.93+366314.77</f>
        <v>1038973.2200000001</v>
      </c>
      <c r="L16" s="77">
        <f>647355.39+26940+67029.51+323471.97</f>
        <v>1064796.87</v>
      </c>
      <c r="M16" s="66"/>
      <c r="N16" s="66"/>
      <c r="P16" s="67">
        <f>P8-P11</f>
        <v>1140091.8299999982</v>
      </c>
    </row>
    <row r="17" spans="1:14" ht="12.75">
      <c r="A17" s="65" t="s">
        <v>57</v>
      </c>
      <c r="B17" s="66"/>
      <c r="C17" s="66">
        <f>25518.37+138965.72</f>
        <v>164484.09</v>
      </c>
      <c r="D17" s="66">
        <f>26259+120741</f>
        <v>147000</v>
      </c>
      <c r="E17" s="66">
        <f>20794.63+27180.12+73134.23</f>
        <v>121108.98</v>
      </c>
      <c r="F17" s="66">
        <f>125128.34+8753.36+30971.39</f>
        <v>164853.09000000003</v>
      </c>
      <c r="G17" s="66">
        <f>181259.3+8709.08+54380.3</f>
        <v>244348.68</v>
      </c>
      <c r="H17" s="66">
        <f>143994.08+6525.24+49356.24</f>
        <v>199875.55999999997</v>
      </c>
      <c r="I17" s="66">
        <f>156883.49+34976.1+68364.75</f>
        <v>260224.34</v>
      </c>
      <c r="J17" s="77">
        <f>99002.99+34976.1+67910.01</f>
        <v>201889.09999999998</v>
      </c>
      <c r="K17" s="77">
        <f>115768.29+5534.76+19602.88+7078.92+62020.37</f>
        <v>210005.22</v>
      </c>
      <c r="L17" s="77">
        <f>136249.94+6436.87+15070.55+50276.72</f>
        <v>208034.08</v>
      </c>
      <c r="M17" s="66"/>
      <c r="N17" s="66"/>
    </row>
    <row r="18" spans="1:14" ht="12.75">
      <c r="A18" s="65" t="s">
        <v>62</v>
      </c>
      <c r="B18" s="66"/>
      <c r="C18" s="66"/>
      <c r="D18" s="66"/>
      <c r="E18" s="66">
        <f>27453.97</f>
        <v>27453.97</v>
      </c>
      <c r="F18" s="66"/>
      <c r="G18" s="66"/>
      <c r="H18" s="66"/>
      <c r="I18" s="66"/>
      <c r="J18" s="77">
        <f>82097.88</f>
        <v>82097.88</v>
      </c>
      <c r="K18" s="77">
        <f>72504.43+72504.42+16501.45+4508.2+13782.06</f>
        <v>179800.56</v>
      </c>
      <c r="L18" s="77">
        <f>142059.26+16629.92+4112.01+11910.28</f>
        <v>174711.47</v>
      </c>
      <c r="M18" s="66"/>
      <c r="N18" s="66"/>
    </row>
    <row r="19" spans="1:16" s="70" customFormat="1" ht="12.75">
      <c r="A19" s="65" t="s">
        <v>57</v>
      </c>
      <c r="B19" s="68"/>
      <c r="C19" s="68"/>
      <c r="D19" s="69"/>
      <c r="E19" s="68">
        <f>6916.3</f>
        <v>6916.3</v>
      </c>
      <c r="F19" s="68">
        <f>3570.79</f>
        <v>3570.79</v>
      </c>
      <c r="G19" s="68"/>
      <c r="H19" s="68"/>
      <c r="I19" s="68"/>
      <c r="J19" s="66">
        <f>18061.53</f>
        <v>18061.53</v>
      </c>
      <c r="K19" s="65">
        <f>15950.97+6659.44+3630.33+991.8+3032.05</f>
        <v>30264.589999999997</v>
      </c>
      <c r="L19" s="65">
        <f>35342.3+2771.79+904.64+2620.26</f>
        <v>41638.990000000005</v>
      </c>
      <c r="M19" s="68"/>
      <c r="N19" s="68"/>
      <c r="P19" s="113"/>
    </row>
    <row r="20" spans="1:14" s="70" customFormat="1" ht="12.75">
      <c r="A20" s="65" t="s">
        <v>82</v>
      </c>
      <c r="B20" s="68">
        <v>26270</v>
      </c>
      <c r="C20" s="68"/>
      <c r="D20" s="69"/>
      <c r="E20" s="68">
        <f>21629.92+3882.15</f>
        <v>25512.07</v>
      </c>
      <c r="F20" s="68">
        <f>16539.11+82613.98+6885.72</f>
        <v>106038.81</v>
      </c>
      <c r="G20" s="68">
        <f>3854.71+15641.78</f>
        <v>19496.49</v>
      </c>
      <c r="H20" s="68">
        <f>40390.28</f>
        <v>40390.28</v>
      </c>
      <c r="I20" s="68"/>
      <c r="J20" s="78">
        <f>10741.39+9279.54</f>
        <v>20020.93</v>
      </c>
      <c r="K20" s="65"/>
      <c r="L20" s="65">
        <f>69395.83</f>
        <v>69395.83</v>
      </c>
      <c r="M20" s="68"/>
      <c r="N20" s="68"/>
    </row>
    <row r="21" ht="12.75">
      <c r="A21" s="71"/>
    </row>
    <row r="22" spans="1:3" ht="12.75">
      <c r="A22" s="164" t="s">
        <v>63</v>
      </c>
      <c r="B22" s="164"/>
      <c r="C22" s="164"/>
    </row>
    <row r="23" spans="1:3" ht="13.5">
      <c r="A23" s="72" t="s">
        <v>64</v>
      </c>
      <c r="B23" s="60"/>
      <c r="C23" s="73">
        <f>C24+C25+C26</f>
        <v>1497060.9</v>
      </c>
    </row>
    <row r="24" spans="1:14" ht="12.75">
      <c r="A24" s="95" t="s">
        <v>60</v>
      </c>
      <c r="B24" s="96">
        <v>43486</v>
      </c>
      <c r="C24" s="121">
        <f>457677</f>
        <v>457677</v>
      </c>
      <c r="N24" s="44"/>
    </row>
    <row r="25" spans="1:14" ht="12.75">
      <c r="A25" s="75" t="s">
        <v>61</v>
      </c>
      <c r="B25" s="74">
        <v>43137</v>
      </c>
      <c r="C25" s="122">
        <f>1013113.9</f>
        <v>1013113.9</v>
      </c>
      <c r="N25" s="44"/>
    </row>
    <row r="26" spans="1:14" ht="12.75">
      <c r="A26" s="75" t="s">
        <v>67</v>
      </c>
      <c r="B26" s="74">
        <v>43494</v>
      </c>
      <c r="C26" s="122">
        <v>26270</v>
      </c>
      <c r="N26" s="44"/>
    </row>
    <row r="27" spans="1:3" ht="13.5">
      <c r="A27" s="72" t="s">
        <v>65</v>
      </c>
      <c r="B27" s="60"/>
      <c r="C27" s="73">
        <f>C28+C29+C30</f>
        <v>1532271</v>
      </c>
    </row>
    <row r="28" spans="1:3" ht="12.75">
      <c r="A28" s="60" t="s">
        <v>60</v>
      </c>
      <c r="B28" s="74">
        <v>43156</v>
      </c>
      <c r="C28" s="122">
        <f>734508</f>
        <v>734508</v>
      </c>
    </row>
    <row r="29" spans="1:3" ht="12.75">
      <c r="A29" s="75" t="s">
        <v>61</v>
      </c>
      <c r="B29" s="74">
        <v>43165</v>
      </c>
      <c r="C29" s="122">
        <f>146073+651690</f>
        <v>797763</v>
      </c>
    </row>
    <row r="30" spans="1:7" ht="12.75">
      <c r="A30" s="75" t="s">
        <v>67</v>
      </c>
      <c r="B30" s="74">
        <v>43159</v>
      </c>
      <c r="C30" s="122"/>
      <c r="G30" s="44"/>
    </row>
    <row r="31" spans="1:4" ht="13.5">
      <c r="A31" s="72" t="s">
        <v>66</v>
      </c>
      <c r="C31" s="73">
        <f>C32+C33+C34</f>
        <v>1427997.12</v>
      </c>
      <c r="D31" s="44"/>
    </row>
    <row r="32" spans="1:3" ht="12.75">
      <c r="A32" s="60" t="s">
        <v>60</v>
      </c>
      <c r="B32" s="74">
        <v>43179</v>
      </c>
      <c r="C32" s="122">
        <v>633363.23</v>
      </c>
    </row>
    <row r="33" spans="1:3" ht="12.75">
      <c r="A33" s="75" t="s">
        <v>61</v>
      </c>
      <c r="B33" s="74">
        <v>43194</v>
      </c>
      <c r="C33" s="122">
        <f>794633.89</f>
        <v>794633.89</v>
      </c>
    </row>
    <row r="34" spans="1:3" ht="12.75">
      <c r="A34" s="75" t="s">
        <v>62</v>
      </c>
      <c r="B34" s="74">
        <v>43186</v>
      </c>
      <c r="C34" s="122"/>
    </row>
    <row r="35" spans="1:4" ht="13.5">
      <c r="A35" s="72" t="s">
        <v>68</v>
      </c>
      <c r="B35" s="60"/>
      <c r="C35" s="73">
        <f>C36+C37+C38+C39</f>
        <v>1860636.64</v>
      </c>
      <c r="D35" s="44"/>
    </row>
    <row r="36" spans="1:3" ht="12.75">
      <c r="A36" s="60" t="s">
        <v>60</v>
      </c>
      <c r="B36" s="74">
        <v>43207</v>
      </c>
      <c r="C36" s="122">
        <f>713964.85</f>
        <v>713964.85</v>
      </c>
    </row>
    <row r="37" spans="1:3" ht="12.75">
      <c r="A37" s="75" t="s">
        <v>61</v>
      </c>
      <c r="B37" s="74">
        <v>43591</v>
      </c>
      <c r="C37" s="122">
        <f>1086789.45</f>
        <v>1086789.45</v>
      </c>
    </row>
    <row r="38" spans="1:3" ht="12.75">
      <c r="A38" s="75" t="s">
        <v>62</v>
      </c>
      <c r="B38" s="74">
        <v>43199</v>
      </c>
      <c r="C38" s="122">
        <f>34370.27</f>
        <v>34370.27</v>
      </c>
    </row>
    <row r="39" spans="1:3" ht="12.75">
      <c r="A39" s="75" t="s">
        <v>82</v>
      </c>
      <c r="B39" s="74">
        <v>43208</v>
      </c>
      <c r="C39" s="122">
        <f>21629.92+3882.15</f>
        <v>25512.07</v>
      </c>
    </row>
    <row r="40" spans="1:3" ht="13.5">
      <c r="A40" s="72" t="s">
        <v>42</v>
      </c>
      <c r="B40" s="60"/>
      <c r="C40" s="73">
        <f>C41+C42+C43</f>
        <v>2173460.22</v>
      </c>
    </row>
    <row r="41" spans="1:3" ht="12.75">
      <c r="A41" s="60" t="s">
        <v>60</v>
      </c>
      <c r="B41" s="112">
        <v>43605</v>
      </c>
      <c r="C41" s="122">
        <f>610683.63</f>
        <v>610683.63</v>
      </c>
    </row>
    <row r="42" spans="1:3" ht="12.75">
      <c r="A42" s="75" t="s">
        <v>61</v>
      </c>
      <c r="B42" s="112">
        <v>43621</v>
      </c>
      <c r="C42" s="122">
        <f>1453166.99</f>
        <v>1453166.99</v>
      </c>
    </row>
    <row r="43" spans="1:3" ht="12.75">
      <c r="A43" s="75" t="s">
        <v>82</v>
      </c>
      <c r="B43" s="112" t="s">
        <v>147</v>
      </c>
      <c r="C43" s="122">
        <f>16539.11+3570.79+82613.98+6885.72</f>
        <v>109609.6</v>
      </c>
    </row>
    <row r="44" spans="1:3" ht="13.5">
      <c r="A44" s="72" t="s">
        <v>43</v>
      </c>
      <c r="B44" s="60"/>
      <c r="C44" s="73">
        <f>C45+C46+C47</f>
        <v>1856659.1300000001</v>
      </c>
    </row>
    <row r="45" spans="1:3" ht="12.75">
      <c r="A45" s="60" t="s">
        <v>60</v>
      </c>
      <c r="B45" s="112">
        <v>43635</v>
      </c>
      <c r="C45" s="122">
        <f>713483.05</f>
        <v>713483.05</v>
      </c>
    </row>
    <row r="46" spans="1:3" ht="12.75">
      <c r="A46" s="75" t="s">
        <v>61</v>
      </c>
      <c r="B46" s="112">
        <v>43649</v>
      </c>
      <c r="C46" s="122">
        <v>1123679.59</v>
      </c>
    </row>
    <row r="47" spans="1:3" ht="12.75">
      <c r="A47" s="75" t="s">
        <v>67</v>
      </c>
      <c r="B47" s="112" t="s">
        <v>148</v>
      </c>
      <c r="C47" s="122">
        <f>3854.71+15641.78</f>
        <v>19496.49</v>
      </c>
    </row>
    <row r="48" spans="1:3" ht="13.5">
      <c r="A48" s="72" t="s">
        <v>44</v>
      </c>
      <c r="B48" s="72"/>
      <c r="C48" s="76">
        <f>C49+C50+C51</f>
        <v>2206255.6199999996</v>
      </c>
    </row>
    <row r="49" spans="1:3" ht="12.75">
      <c r="A49" s="60" t="s">
        <v>60</v>
      </c>
      <c r="B49" s="112">
        <v>43664</v>
      </c>
      <c r="C49" s="122">
        <v>689538.8</v>
      </c>
    </row>
    <row r="50" spans="1:3" ht="12.75">
      <c r="A50" s="75" t="s">
        <v>61</v>
      </c>
      <c r="B50" s="112">
        <v>43682</v>
      </c>
      <c r="C50" s="122">
        <v>1476326.54</v>
      </c>
    </row>
    <row r="51" spans="1:3" ht="12.75">
      <c r="A51" s="75" t="s">
        <v>67</v>
      </c>
      <c r="B51" s="74">
        <v>43658</v>
      </c>
      <c r="C51" s="122">
        <f>40390.28</f>
        <v>40390.28</v>
      </c>
    </row>
    <row r="52" spans="1:3" ht="13.5">
      <c r="A52" s="72" t="s">
        <v>45</v>
      </c>
      <c r="B52" s="74"/>
      <c r="C52" s="76">
        <f>C53+C54+C55+C56</f>
        <v>2018796.4200000002</v>
      </c>
    </row>
    <row r="53" spans="1:3" ht="12.75">
      <c r="A53" s="60" t="s">
        <v>60</v>
      </c>
      <c r="B53" s="112">
        <v>43697</v>
      </c>
      <c r="C53" s="122">
        <v>786633.56</v>
      </c>
    </row>
    <row r="54" spans="1:3" ht="12.75">
      <c r="A54" s="75" t="s">
        <v>61</v>
      </c>
      <c r="B54" s="112">
        <v>43712</v>
      </c>
      <c r="C54" s="122">
        <v>1232162.86</v>
      </c>
    </row>
    <row r="55" spans="1:3" ht="12.75">
      <c r="A55" s="75" t="s">
        <v>62</v>
      </c>
      <c r="B55" s="74"/>
      <c r="C55" s="122"/>
    </row>
    <row r="56" spans="1:3" ht="12.75">
      <c r="A56" s="75" t="s">
        <v>67</v>
      </c>
      <c r="B56" s="74"/>
      <c r="C56" s="122"/>
    </row>
    <row r="57" spans="1:3" ht="13.5">
      <c r="A57" s="72" t="s">
        <v>46</v>
      </c>
      <c r="B57" s="74"/>
      <c r="C57" s="76">
        <f>C58+C59+C60+C61</f>
        <v>2042614.44</v>
      </c>
    </row>
    <row r="58" spans="1:3" ht="12.75">
      <c r="A58" s="60" t="s">
        <v>60</v>
      </c>
      <c r="B58" s="112">
        <v>43728</v>
      </c>
      <c r="C58" s="122">
        <f>673455.66</f>
        <v>673455.66</v>
      </c>
    </row>
    <row r="59" spans="1:3" ht="12.75">
      <c r="A59" s="75" t="s">
        <v>61</v>
      </c>
      <c r="B59" s="112">
        <v>43741</v>
      </c>
      <c r="C59" s="122">
        <v>1248978.44</v>
      </c>
    </row>
    <row r="60" spans="1:3" ht="12.75">
      <c r="A60" s="75" t="s">
        <v>62</v>
      </c>
      <c r="B60" s="74">
        <v>43711</v>
      </c>
      <c r="C60" s="122">
        <f>100159.41</f>
        <v>100159.41</v>
      </c>
    </row>
    <row r="61" spans="1:3" ht="12.75">
      <c r="A61" s="75" t="s">
        <v>67</v>
      </c>
      <c r="B61" s="74" t="s">
        <v>164</v>
      </c>
      <c r="C61" s="122">
        <f>10741.39+9279.54</f>
        <v>20020.93</v>
      </c>
    </row>
    <row r="62" spans="1:3" ht="13.5">
      <c r="A62" s="72" t="s">
        <v>47</v>
      </c>
      <c r="B62" s="74"/>
      <c r="C62" s="76">
        <f>C63+C64+C65+C66</f>
        <v>2319654.76</v>
      </c>
    </row>
    <row r="63" spans="1:3" ht="12.75">
      <c r="A63" s="60" t="s">
        <v>60</v>
      </c>
      <c r="B63" s="112">
        <v>43756</v>
      </c>
      <c r="C63" s="122">
        <v>767362.83</v>
      </c>
    </row>
    <row r="64" spans="1:3" ht="12.75">
      <c r="A64" s="75" t="s">
        <v>61</v>
      </c>
      <c r="B64" s="112">
        <v>43775</v>
      </c>
      <c r="C64" s="122">
        <v>1272830.95</v>
      </c>
    </row>
    <row r="65" spans="1:3" ht="12.75">
      <c r="A65" s="75" t="s">
        <v>62</v>
      </c>
      <c r="B65" s="112" t="s">
        <v>167</v>
      </c>
      <c r="C65" s="122">
        <f>167619.26+42445.89</f>
        <v>210065.15000000002</v>
      </c>
    </row>
    <row r="66" spans="1:3" ht="12.75">
      <c r="A66" s="75" t="s">
        <v>67</v>
      </c>
      <c r="B66" s="112">
        <v>43767</v>
      </c>
      <c r="C66" s="122">
        <v>69395.83</v>
      </c>
    </row>
    <row r="67" spans="1:3" ht="13.5">
      <c r="A67" s="72" t="s">
        <v>48</v>
      </c>
      <c r="B67" s="74"/>
      <c r="C67" s="76">
        <f>C68+C69+C70</f>
        <v>990499.1499999999</v>
      </c>
    </row>
    <row r="68" spans="1:3" ht="12.75">
      <c r="A68" s="60" t="s">
        <v>60</v>
      </c>
      <c r="B68" s="112">
        <v>43788</v>
      </c>
      <c r="C68" s="122">
        <v>774148.69</v>
      </c>
    </row>
    <row r="69" spans="1:3" ht="12.75">
      <c r="A69" s="75" t="s">
        <v>61</v>
      </c>
      <c r="B69" s="112" t="s">
        <v>140</v>
      </c>
      <c r="C69" s="122"/>
    </row>
    <row r="70" spans="1:3" ht="12.75">
      <c r="A70" s="75" t="s">
        <v>62</v>
      </c>
      <c r="B70" s="74" t="s">
        <v>179</v>
      </c>
      <c r="C70" s="122">
        <f>177401.56+19401.71+19547.19</f>
        <v>216350.46</v>
      </c>
    </row>
    <row r="71" spans="1:3" ht="13.5">
      <c r="A71" s="72" t="s">
        <v>49</v>
      </c>
      <c r="B71" s="74"/>
      <c r="C71" s="76">
        <f>C72+C73+C74</f>
        <v>0</v>
      </c>
    </row>
    <row r="72" spans="1:3" ht="12.75">
      <c r="A72" s="60" t="s">
        <v>60</v>
      </c>
      <c r="B72" s="112" t="s">
        <v>140</v>
      </c>
      <c r="C72" s="61"/>
    </row>
    <row r="73" spans="1:3" ht="12.75">
      <c r="A73" s="75" t="s">
        <v>61</v>
      </c>
      <c r="B73" s="112" t="s">
        <v>140</v>
      </c>
      <c r="C73" s="61"/>
    </row>
    <row r="74" spans="1:3" ht="12.75">
      <c r="A74" s="75" t="s">
        <v>62</v>
      </c>
      <c r="B74" s="74"/>
      <c r="C74" s="61"/>
    </row>
    <row r="75" spans="1:3" ht="12.75">
      <c r="A75" s="91" t="s">
        <v>74</v>
      </c>
      <c r="B75" s="89"/>
      <c r="C75" s="90">
        <f>C71+C67+C62+C57+C52+C48+C44+C40+C35+C31+C27+C23</f>
        <v>19925905.4</v>
      </c>
    </row>
    <row r="76" ht="12.75">
      <c r="C76" s="44">
        <f>C75-'Лист2 (07.08.)'!I6-'Лист2 (07.08.)'!J6</f>
        <v>0</v>
      </c>
    </row>
  </sheetData>
  <sheetProtection/>
  <mergeCells count="4">
    <mergeCell ref="F2:H2"/>
    <mergeCell ref="B5:M5"/>
    <mergeCell ref="F10:J10"/>
    <mergeCell ref="A22:C22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60" workbookViewId="0" topLeftCell="A1">
      <selection activeCell="C52" sqref="C52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69.5" style="4" customWidth="1"/>
    <col min="4" max="4" width="35.66015625" style="13" customWidth="1"/>
    <col min="5" max="5" width="24.66015625" style="4" customWidth="1"/>
    <col min="6" max="6" width="24.16015625" style="4" customWidth="1"/>
    <col min="7" max="7" width="23.66015625" style="4" customWidth="1"/>
    <col min="8" max="16384" width="9.33203125" style="4" customWidth="1"/>
  </cols>
  <sheetData>
    <row r="1" spans="6:7" ht="74.25" customHeight="1">
      <c r="F1" s="147" t="s">
        <v>174</v>
      </c>
      <c r="G1" s="148"/>
    </row>
    <row r="2" spans="1:7" ht="21" customHeight="1">
      <c r="A2" s="140" t="s">
        <v>172</v>
      </c>
      <c r="B2" s="140"/>
      <c r="C2" s="140"/>
      <c r="D2" s="140"/>
      <c r="E2" s="140"/>
      <c r="F2" s="140"/>
      <c r="G2" s="140"/>
    </row>
    <row r="3" spans="1:7" ht="20.25" customHeight="1">
      <c r="A3" s="150" t="s">
        <v>175</v>
      </c>
      <c r="B3" s="150"/>
      <c r="C3" s="150"/>
      <c r="D3" s="150"/>
      <c r="E3" s="150"/>
      <c r="F3" s="150"/>
      <c r="G3" s="150"/>
    </row>
    <row r="4" spans="1:5" ht="20.25" customHeight="1">
      <c r="A4" s="27"/>
      <c r="B4" s="27"/>
      <c r="C4" s="27"/>
      <c r="D4" s="27"/>
      <c r="E4" s="27"/>
    </row>
    <row r="5" spans="3:5" ht="13.5" customHeight="1">
      <c r="C5" s="6"/>
      <c r="D5" s="5"/>
      <c r="E5" s="14" t="s">
        <v>37</v>
      </c>
    </row>
    <row r="6" spans="1:7" ht="12" customHeight="1">
      <c r="A6" s="149" t="s">
        <v>19</v>
      </c>
      <c r="B6" s="15"/>
      <c r="C6" s="149" t="s">
        <v>0</v>
      </c>
      <c r="D6" s="146" t="s">
        <v>1</v>
      </c>
      <c r="E6" s="146" t="s">
        <v>31</v>
      </c>
      <c r="F6" s="146" t="s">
        <v>71</v>
      </c>
      <c r="G6" s="16" t="s">
        <v>72</v>
      </c>
    </row>
    <row r="7" spans="1:7" ht="24" customHeight="1">
      <c r="A7" s="149"/>
      <c r="B7" s="1" t="s">
        <v>32</v>
      </c>
      <c r="C7" s="149"/>
      <c r="D7" s="146"/>
      <c r="E7" s="146"/>
      <c r="F7" s="146"/>
      <c r="G7" s="80" t="s">
        <v>73</v>
      </c>
    </row>
    <row r="8" spans="1:7" ht="14.25" customHeight="1">
      <c r="A8" s="16">
        <v>1</v>
      </c>
      <c r="B8" s="16"/>
      <c r="C8" s="16">
        <v>2</v>
      </c>
      <c r="D8" s="16">
        <v>3</v>
      </c>
      <c r="E8" s="16">
        <v>4</v>
      </c>
      <c r="F8" s="16">
        <v>5</v>
      </c>
      <c r="G8" s="16">
        <v>6</v>
      </c>
    </row>
    <row r="9" spans="1:7" s="17" customFormat="1" ht="19.5" customHeight="1">
      <c r="A9" s="165" t="s">
        <v>21</v>
      </c>
      <c r="B9" s="166"/>
      <c r="C9" s="166"/>
      <c r="D9" s="166"/>
      <c r="E9" s="166"/>
      <c r="F9" s="166"/>
      <c r="G9" s="166"/>
    </row>
    <row r="10" spans="1:10" ht="18">
      <c r="A10" s="7">
        <v>1</v>
      </c>
      <c r="B10" s="8"/>
      <c r="C10" s="9" t="s">
        <v>20</v>
      </c>
      <c r="D10" s="10">
        <f>E10+F10</f>
        <v>148081500</v>
      </c>
      <c r="E10" s="10">
        <f>E11</f>
        <v>148081500</v>
      </c>
      <c r="F10" s="10">
        <f>F28</f>
        <v>0</v>
      </c>
      <c r="G10" s="10">
        <f>G28</f>
        <v>0</v>
      </c>
      <c r="H10" s="123"/>
      <c r="I10" s="123"/>
      <c r="J10" s="123"/>
    </row>
    <row r="11" spans="1:7" ht="18">
      <c r="A11" s="11"/>
      <c r="B11" s="12"/>
      <c r="C11" s="81" t="s">
        <v>22</v>
      </c>
      <c r="D11" s="82">
        <f>SUM(D12:D19)+D20</f>
        <v>148081500</v>
      </c>
      <c r="E11" s="82">
        <f>SUM(E12:E19)+E20</f>
        <v>148081500</v>
      </c>
      <c r="F11" s="58"/>
      <c r="G11" s="15"/>
    </row>
    <row r="12" spans="1:7" ht="18">
      <c r="A12" s="11"/>
      <c r="B12" s="12"/>
      <c r="C12" s="18" t="s">
        <v>23</v>
      </c>
      <c r="D12" s="19">
        <f>E12</f>
        <v>40000000</v>
      </c>
      <c r="E12" s="19">
        <v>40000000</v>
      </c>
      <c r="F12" s="15"/>
      <c r="G12" s="15"/>
    </row>
    <row r="13" spans="1:7" ht="18">
      <c r="A13" s="11"/>
      <c r="B13" s="12"/>
      <c r="C13" s="18" t="s">
        <v>24</v>
      </c>
      <c r="D13" s="19">
        <f aca="true" t="shared" si="0" ref="D13:D19">E13</f>
        <v>3600000</v>
      </c>
      <c r="E13" s="19">
        <v>3600000</v>
      </c>
      <c r="F13" s="15"/>
      <c r="G13" s="15"/>
    </row>
    <row r="14" spans="1:7" ht="18">
      <c r="A14" s="11"/>
      <c r="B14" s="12"/>
      <c r="C14" s="18" t="s">
        <v>25</v>
      </c>
      <c r="D14" s="19">
        <f t="shared" si="0"/>
        <v>3400000</v>
      </c>
      <c r="E14" s="19">
        <v>3400000</v>
      </c>
      <c r="F14" s="15"/>
      <c r="G14" s="15"/>
    </row>
    <row r="15" spans="1:7" s="21" customFormat="1" ht="18">
      <c r="A15" s="11"/>
      <c r="B15" s="20"/>
      <c r="C15" s="18" t="s">
        <v>26</v>
      </c>
      <c r="D15" s="19">
        <f t="shared" si="0"/>
        <v>7500000</v>
      </c>
      <c r="E15" s="19">
        <v>7500000</v>
      </c>
      <c r="F15" s="56"/>
      <c r="G15" s="56"/>
    </row>
    <row r="16" spans="1:7" ht="18">
      <c r="A16" s="11"/>
      <c r="B16" s="12"/>
      <c r="C16" s="18" t="s">
        <v>30</v>
      </c>
      <c r="D16" s="19">
        <f t="shared" si="0"/>
        <v>5000000</v>
      </c>
      <c r="E16" s="19">
        <v>5000000</v>
      </c>
      <c r="F16" s="15"/>
      <c r="G16" s="15"/>
    </row>
    <row r="17" spans="1:7" ht="36">
      <c r="A17" s="11"/>
      <c r="B17" s="12"/>
      <c r="C17" s="18" t="s">
        <v>177</v>
      </c>
      <c r="D17" s="19">
        <f t="shared" si="0"/>
        <v>250000</v>
      </c>
      <c r="E17" s="19">
        <v>250000</v>
      </c>
      <c r="F17" s="15"/>
      <c r="G17" s="15"/>
    </row>
    <row r="18" spans="1:7" ht="24" customHeight="1">
      <c r="A18" s="11"/>
      <c r="B18" s="12"/>
      <c r="C18" s="18" t="s">
        <v>75</v>
      </c>
      <c r="D18" s="19">
        <f t="shared" si="0"/>
        <v>27750000</v>
      </c>
      <c r="E18" s="19">
        <v>27750000</v>
      </c>
      <c r="F18" s="15"/>
      <c r="G18" s="15"/>
    </row>
    <row r="19" spans="1:7" ht="18" hidden="1">
      <c r="A19" s="11"/>
      <c r="B19" s="12"/>
      <c r="C19" s="18" t="s">
        <v>75</v>
      </c>
      <c r="D19" s="19">
        <f t="shared" si="0"/>
        <v>0</v>
      </c>
      <c r="E19" s="19"/>
      <c r="F19" s="15"/>
      <c r="G19" s="15"/>
    </row>
    <row r="20" spans="1:7" s="36" customFormat="1" ht="36">
      <c r="A20" s="32"/>
      <c r="B20" s="33"/>
      <c r="C20" s="34" t="s">
        <v>33</v>
      </c>
      <c r="D20" s="35">
        <f>E20</f>
        <v>60581500</v>
      </c>
      <c r="E20" s="35">
        <f>SUM(E21:E27)</f>
        <v>60581500</v>
      </c>
      <c r="F20" s="124"/>
      <c r="G20" s="124"/>
    </row>
    <row r="21" spans="1:7" s="31" customFormat="1" ht="18">
      <c r="A21" s="28"/>
      <c r="B21" s="29"/>
      <c r="C21" s="22" t="s">
        <v>23</v>
      </c>
      <c r="D21" s="23">
        <f aca="true" t="shared" si="1" ref="D21:D27">E21</f>
        <v>24160771</v>
      </c>
      <c r="E21" s="23">
        <v>24160771</v>
      </c>
      <c r="F21" s="57"/>
      <c r="G21" s="57"/>
    </row>
    <row r="22" spans="1:7" s="31" customFormat="1" ht="18">
      <c r="A22" s="28"/>
      <c r="B22" s="29"/>
      <c r="C22" s="22" t="s">
        <v>24</v>
      </c>
      <c r="D22" s="23">
        <f t="shared" si="1"/>
        <v>3800014</v>
      </c>
      <c r="E22" s="23">
        <v>3800014</v>
      </c>
      <c r="F22" s="57"/>
      <c r="G22" s="57"/>
    </row>
    <row r="23" spans="1:7" s="31" customFormat="1" ht="18">
      <c r="A23" s="28"/>
      <c r="B23" s="29"/>
      <c r="C23" s="22" t="s">
        <v>25</v>
      </c>
      <c r="D23" s="23">
        <f t="shared" si="1"/>
        <v>2700000</v>
      </c>
      <c r="E23" s="23">
        <v>2700000</v>
      </c>
      <c r="F23" s="57"/>
      <c r="G23" s="57"/>
    </row>
    <row r="24" spans="1:7" s="31" customFormat="1" ht="18">
      <c r="A24" s="28"/>
      <c r="B24" s="29"/>
      <c r="C24" s="22" t="s">
        <v>76</v>
      </c>
      <c r="D24" s="23">
        <f t="shared" si="1"/>
        <v>1862874</v>
      </c>
      <c r="E24" s="23">
        <v>1862874</v>
      </c>
      <c r="F24" s="57"/>
      <c r="G24" s="57"/>
    </row>
    <row r="25" spans="1:7" s="31" customFormat="1" ht="18">
      <c r="A25" s="28"/>
      <c r="B25" s="29"/>
      <c r="C25" s="30" t="s">
        <v>34</v>
      </c>
      <c r="D25" s="23">
        <f t="shared" si="1"/>
        <v>5800000</v>
      </c>
      <c r="E25" s="23">
        <v>5800000</v>
      </c>
      <c r="F25" s="57"/>
      <c r="G25" s="57"/>
    </row>
    <row r="26" spans="1:7" s="31" customFormat="1" ht="18">
      <c r="A26" s="28"/>
      <c r="B26" s="29"/>
      <c r="C26" s="22" t="s">
        <v>30</v>
      </c>
      <c r="D26" s="23">
        <f t="shared" si="1"/>
        <v>2399988</v>
      </c>
      <c r="E26" s="23">
        <v>2399988</v>
      </c>
      <c r="F26" s="57"/>
      <c r="G26" s="57"/>
    </row>
    <row r="27" spans="1:7" s="31" customFormat="1" ht="54">
      <c r="A27" s="28"/>
      <c r="B27" s="29"/>
      <c r="C27" s="22" t="s">
        <v>35</v>
      </c>
      <c r="D27" s="23">
        <f t="shared" si="1"/>
        <v>19857853</v>
      </c>
      <c r="E27" s="23">
        <v>19857853</v>
      </c>
      <c r="F27" s="57"/>
      <c r="G27" s="57"/>
    </row>
    <row r="28" spans="1:7" s="31" customFormat="1" ht="18" hidden="1">
      <c r="A28" s="28"/>
      <c r="B28" s="29"/>
      <c r="C28" s="81" t="s">
        <v>69</v>
      </c>
      <c r="D28" s="82">
        <f>SUM(D29:D30)</f>
        <v>0</v>
      </c>
      <c r="E28" s="82"/>
      <c r="F28" s="82">
        <f>SUM(F29:F30)</f>
        <v>0</v>
      </c>
      <c r="G28" s="82">
        <f>SUM(G29:G30)</f>
        <v>0</v>
      </c>
    </row>
    <row r="29" spans="1:7" s="31" customFormat="1" ht="18" hidden="1">
      <c r="A29" s="28"/>
      <c r="B29" s="29"/>
      <c r="C29" s="92"/>
      <c r="D29" s="19">
        <f>F29</f>
        <v>0</v>
      </c>
      <c r="E29" s="23"/>
      <c r="F29" s="19">
        <f>G29</f>
        <v>0</v>
      </c>
      <c r="G29" s="19"/>
    </row>
    <row r="30" spans="1:7" s="31" customFormat="1" ht="18" hidden="1">
      <c r="A30" s="28"/>
      <c r="B30" s="29"/>
      <c r="C30" s="18"/>
      <c r="D30" s="19">
        <f>F30</f>
        <v>0</v>
      </c>
      <c r="E30" s="23"/>
      <c r="F30" s="19">
        <f>G30</f>
        <v>0</v>
      </c>
      <c r="G30" s="19"/>
    </row>
    <row r="31" ht="12.75" hidden="1"/>
    <row r="32" spans="1:7" s="31" customFormat="1" ht="17.25" hidden="1">
      <c r="A32" s="143" t="s">
        <v>70</v>
      </c>
      <c r="B32" s="144"/>
      <c r="C32" s="144"/>
      <c r="D32" s="144"/>
      <c r="E32" s="144"/>
      <c r="F32" s="144"/>
      <c r="G32" s="145"/>
    </row>
    <row r="33" spans="1:7" s="31" customFormat="1" ht="18" hidden="1">
      <c r="A33" s="7">
        <v>2</v>
      </c>
      <c r="B33" s="8"/>
      <c r="C33" s="9" t="s">
        <v>20</v>
      </c>
      <c r="D33" s="10">
        <f>SUM(D35:D51)</f>
        <v>0</v>
      </c>
      <c r="E33" s="10"/>
      <c r="F33" s="10">
        <f>SUM(F35:F51)</f>
        <v>0</v>
      </c>
      <c r="G33" s="10">
        <f>SUM(G35:G51)</f>
        <v>0</v>
      </c>
    </row>
    <row r="34" spans="1:7" s="88" customFormat="1" ht="18" hidden="1">
      <c r="A34" s="86"/>
      <c r="B34" s="20"/>
      <c r="C34" s="81" t="s">
        <v>69</v>
      </c>
      <c r="D34" s="125">
        <f>SUM(D35:D51)</f>
        <v>0</v>
      </c>
      <c r="E34" s="125"/>
      <c r="F34" s="125">
        <f>SUM(F35:F51)</f>
        <v>0</v>
      </c>
      <c r="G34" s="125">
        <f>SUM(G35:G51)</f>
        <v>0</v>
      </c>
    </row>
    <row r="35" spans="1:7" s="31" customFormat="1" ht="45" customHeight="1" hidden="1">
      <c r="A35" s="28"/>
      <c r="B35" s="29"/>
      <c r="C35" s="93"/>
      <c r="D35" s="19">
        <f>F35</f>
        <v>0</v>
      </c>
      <c r="E35" s="23"/>
      <c r="F35" s="19">
        <f>G35</f>
        <v>0</v>
      </c>
      <c r="G35" s="19"/>
    </row>
    <row r="36" spans="1:7" s="31" customFormat="1" ht="18" hidden="1">
      <c r="A36" s="28"/>
      <c r="B36" s="29"/>
      <c r="C36" s="18"/>
      <c r="D36" s="19">
        <f aca="true" t="shared" si="2" ref="D36:D51">F36</f>
        <v>0</v>
      </c>
      <c r="E36" s="23"/>
      <c r="F36" s="19">
        <f aca="true" t="shared" si="3" ref="F36:F51">G36</f>
        <v>0</v>
      </c>
      <c r="G36" s="19"/>
    </row>
    <row r="37" spans="1:7" s="31" customFormat="1" ht="22.5" customHeight="1" hidden="1">
      <c r="A37" s="28"/>
      <c r="B37" s="29"/>
      <c r="C37" s="18"/>
      <c r="D37" s="19">
        <f>F37</f>
        <v>0</v>
      </c>
      <c r="E37" s="23"/>
      <c r="F37" s="19">
        <f>G37</f>
        <v>0</v>
      </c>
      <c r="G37" s="19"/>
    </row>
    <row r="38" spans="1:7" s="31" customFormat="1" ht="18" hidden="1">
      <c r="A38" s="28"/>
      <c r="B38" s="29"/>
      <c r="C38" s="18"/>
      <c r="D38" s="19">
        <f t="shared" si="2"/>
        <v>0</v>
      </c>
      <c r="E38" s="23"/>
      <c r="F38" s="19">
        <f t="shared" si="3"/>
        <v>0</v>
      </c>
      <c r="G38" s="19"/>
    </row>
    <row r="39" spans="1:7" s="31" customFormat="1" ht="18" hidden="1">
      <c r="A39" s="28"/>
      <c r="B39" s="29"/>
      <c r="C39" s="18"/>
      <c r="D39" s="19">
        <f t="shared" si="2"/>
        <v>0</v>
      </c>
      <c r="E39" s="23"/>
      <c r="F39" s="19">
        <f t="shared" si="3"/>
        <v>0</v>
      </c>
      <c r="G39" s="19"/>
    </row>
    <row r="40" spans="1:7" s="31" customFormat="1" ht="18" hidden="1">
      <c r="A40" s="28"/>
      <c r="B40" s="29"/>
      <c r="C40" s="18"/>
      <c r="D40" s="19">
        <f>F40</f>
        <v>0</v>
      </c>
      <c r="E40" s="23"/>
      <c r="F40" s="19">
        <f>G40</f>
        <v>0</v>
      </c>
      <c r="G40" s="19"/>
    </row>
    <row r="41" spans="1:7" s="31" customFormat="1" ht="18" hidden="1">
      <c r="A41" s="28"/>
      <c r="B41" s="29"/>
      <c r="C41" s="18"/>
      <c r="D41" s="19">
        <f>F41</f>
        <v>0</v>
      </c>
      <c r="E41" s="23"/>
      <c r="F41" s="19">
        <f>G41</f>
        <v>0</v>
      </c>
      <c r="G41" s="19"/>
    </row>
    <row r="42" spans="1:7" s="31" customFormat="1" ht="18" hidden="1">
      <c r="A42" s="28"/>
      <c r="B42" s="29"/>
      <c r="C42" s="18"/>
      <c r="D42" s="19">
        <f>F42</f>
        <v>0</v>
      </c>
      <c r="E42" s="23"/>
      <c r="F42" s="19">
        <f>G42</f>
        <v>0</v>
      </c>
      <c r="G42" s="19"/>
    </row>
    <row r="43" spans="1:7" s="31" customFormat="1" ht="18" hidden="1">
      <c r="A43" s="28"/>
      <c r="B43" s="29"/>
      <c r="C43" s="18"/>
      <c r="D43" s="19">
        <f>F43</f>
        <v>0</v>
      </c>
      <c r="E43" s="23"/>
      <c r="F43" s="19">
        <f>G43</f>
        <v>0</v>
      </c>
      <c r="G43" s="19"/>
    </row>
    <row r="44" spans="1:7" s="31" customFormat="1" ht="18" hidden="1">
      <c r="A44" s="28"/>
      <c r="B44" s="29"/>
      <c r="C44" s="18"/>
      <c r="D44" s="19">
        <f t="shared" si="2"/>
        <v>0</v>
      </c>
      <c r="E44" s="23"/>
      <c r="F44" s="19">
        <f t="shared" si="3"/>
        <v>0</v>
      </c>
      <c r="G44" s="19"/>
    </row>
    <row r="45" spans="1:7" s="31" customFormat="1" ht="18" hidden="1">
      <c r="A45" s="28"/>
      <c r="B45" s="29"/>
      <c r="C45" s="18"/>
      <c r="D45" s="19">
        <f t="shared" si="2"/>
        <v>0</v>
      </c>
      <c r="E45" s="23"/>
      <c r="F45" s="19">
        <f t="shared" si="3"/>
        <v>0</v>
      </c>
      <c r="G45" s="19"/>
    </row>
    <row r="46" spans="1:7" s="31" customFormat="1" ht="18" hidden="1">
      <c r="A46" s="28"/>
      <c r="B46" s="29"/>
      <c r="C46" s="18"/>
      <c r="D46" s="19">
        <f t="shared" si="2"/>
        <v>0</v>
      </c>
      <c r="E46" s="23"/>
      <c r="F46" s="19">
        <f t="shared" si="3"/>
        <v>0</v>
      </c>
      <c r="G46" s="19"/>
    </row>
    <row r="47" spans="1:7" s="31" customFormat="1" ht="18" hidden="1">
      <c r="A47" s="28"/>
      <c r="B47" s="29"/>
      <c r="C47" s="18"/>
      <c r="D47" s="19">
        <f t="shared" si="2"/>
        <v>0</v>
      </c>
      <c r="E47" s="23"/>
      <c r="F47" s="19">
        <f t="shared" si="3"/>
        <v>0</v>
      </c>
      <c r="G47" s="19"/>
    </row>
    <row r="48" spans="1:7" s="31" customFormat="1" ht="18" hidden="1">
      <c r="A48" s="28"/>
      <c r="B48" s="29"/>
      <c r="C48" s="18"/>
      <c r="D48" s="19">
        <f t="shared" si="2"/>
        <v>0</v>
      </c>
      <c r="E48" s="23"/>
      <c r="F48" s="19">
        <f t="shared" si="3"/>
        <v>0</v>
      </c>
      <c r="G48" s="19"/>
    </row>
    <row r="49" spans="1:7" s="31" customFormat="1" ht="18" hidden="1">
      <c r="A49" s="28"/>
      <c r="B49" s="29"/>
      <c r="C49" s="18"/>
      <c r="D49" s="19">
        <f t="shared" si="2"/>
        <v>0</v>
      </c>
      <c r="E49" s="23"/>
      <c r="F49" s="19">
        <f t="shared" si="3"/>
        <v>0</v>
      </c>
      <c r="G49" s="19"/>
    </row>
    <row r="50" spans="1:7" s="31" customFormat="1" ht="18" hidden="1">
      <c r="A50" s="28"/>
      <c r="B50" s="29"/>
      <c r="C50" s="18"/>
      <c r="D50" s="19">
        <f t="shared" si="2"/>
        <v>0</v>
      </c>
      <c r="E50" s="23"/>
      <c r="F50" s="19">
        <f t="shared" si="3"/>
        <v>0</v>
      </c>
      <c r="G50" s="19"/>
    </row>
    <row r="51" spans="1:7" s="31" customFormat="1" ht="18" hidden="1">
      <c r="A51" s="28"/>
      <c r="B51" s="29"/>
      <c r="C51" s="18"/>
      <c r="D51" s="19">
        <f t="shared" si="2"/>
        <v>0</v>
      </c>
      <c r="E51" s="23"/>
      <c r="F51" s="19">
        <f t="shared" si="3"/>
        <v>0</v>
      </c>
      <c r="G51" s="19"/>
    </row>
    <row r="52" spans="1:7" ht="18">
      <c r="A52" s="24"/>
      <c r="B52" s="8"/>
      <c r="C52" s="25" t="s">
        <v>28</v>
      </c>
      <c r="D52" s="10">
        <f>D10+D33</f>
        <v>148081500</v>
      </c>
      <c r="E52" s="10">
        <f>E10</f>
        <v>148081500</v>
      </c>
      <c r="F52" s="10">
        <f>F10+F33</f>
        <v>0</v>
      </c>
      <c r="G52" s="10">
        <f>G10+G33</f>
        <v>0</v>
      </c>
    </row>
    <row r="53" spans="1:5" ht="18">
      <c r="A53" s="126"/>
      <c r="B53" s="127"/>
      <c r="C53" s="128"/>
      <c r="D53" s="129"/>
      <c r="E53" s="129"/>
    </row>
    <row r="54" spans="1:5" ht="18">
      <c r="A54" s="130"/>
      <c r="B54" s="131"/>
      <c r="C54" s="132"/>
      <c r="D54" s="133"/>
      <c r="E54" s="131"/>
    </row>
    <row r="55" spans="1:5" ht="27" customHeight="1">
      <c r="A55" s="167" t="s">
        <v>173</v>
      </c>
      <c r="B55" s="168"/>
      <c r="C55" s="168"/>
      <c r="D55" s="134"/>
      <c r="E55" s="135" t="s">
        <v>176</v>
      </c>
    </row>
  </sheetData>
  <sheetProtection/>
  <mergeCells count="11">
    <mergeCell ref="E6:E7"/>
    <mergeCell ref="F6:F7"/>
    <mergeCell ref="A9:G9"/>
    <mergeCell ref="A32:G32"/>
    <mergeCell ref="A55:C55"/>
    <mergeCell ref="F1:G1"/>
    <mergeCell ref="A2:G2"/>
    <mergeCell ref="A3:G3"/>
    <mergeCell ref="A6:A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colBreaks count="1" manualBreakCount="1">
    <brk id="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2019-11-19T14:28:43Z</cp:lastPrinted>
  <dcterms:created xsi:type="dcterms:W3CDTF">2014-01-17T10:52:16Z</dcterms:created>
  <dcterms:modified xsi:type="dcterms:W3CDTF">2019-12-02T13:39:35Z</dcterms:modified>
  <cp:category/>
  <cp:version/>
  <cp:contentType/>
  <cp:contentStatus/>
</cp:coreProperties>
</file>